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chart11.xml" ContentType="application/vnd.openxmlformats-officedocument.drawingml.chart+xml"/>
  <Override PartName="/xl/charts/style10.xml" ContentType="application/vnd.ms-office.chartstyle+xml"/>
  <Override PartName="/xl/charts/colors10.xml" ContentType="application/vnd.ms-office.chartcolorstyle+xml"/>
  <Override PartName="/xl/charts/chart12.xml" ContentType="application/vnd.openxmlformats-officedocument.drawingml.chart+xml"/>
  <Override PartName="/xl/charts/style11.xml" ContentType="application/vnd.ms-office.chartstyle+xml"/>
  <Override PartName="/xl/charts/colors11.xml" ContentType="application/vnd.ms-office.chartcolorstyle+xml"/>
  <Override PartName="/xl/charts/chart13.xml" ContentType="application/vnd.openxmlformats-officedocument.drawingml.chart+xml"/>
  <Override PartName="/xl/charts/style12.xml" ContentType="application/vnd.ms-office.chartstyle+xml"/>
  <Override PartName="/xl/charts/colors12.xml" ContentType="application/vnd.ms-office.chartcolorstyle+xml"/>
  <Override PartName="/xl/charts/chart14.xml" ContentType="application/vnd.openxmlformats-officedocument.drawingml.chart+xml"/>
  <Override PartName="/xl/charts/style13.xml" ContentType="application/vnd.ms-office.chartstyle+xml"/>
  <Override PartName="/xl/charts/colors13.xml" ContentType="application/vnd.ms-office.chartcolorstyle+xml"/>
  <Override PartName="/xl/charts/chart15.xml" ContentType="application/vnd.openxmlformats-officedocument.drawingml.chart+xml"/>
  <Override PartName="/xl/charts/style14.xml" ContentType="application/vnd.ms-office.chartstyle+xml"/>
  <Override PartName="/xl/charts/colors14.xml" ContentType="application/vnd.ms-office.chartcolorstyle+xml"/>
  <Override PartName="/xl/charts/chart16.xml" ContentType="application/vnd.openxmlformats-officedocument.drawingml.chart+xml"/>
  <Override PartName="/xl/charts/chart17.xml" ContentType="application/vnd.openxmlformats-officedocument.drawingml.chart+xml"/>
  <Override PartName="/xl/charts/style15.xml" ContentType="application/vnd.ms-office.chartstyle+xml"/>
  <Override PartName="/xl/charts/colors15.xml" ContentType="application/vnd.ms-office.chartcolorstyle+xml"/>
  <Override PartName="/xl/charts/chart18.xml" ContentType="application/vnd.openxmlformats-officedocument.drawingml.chart+xml"/>
  <Override PartName="/xl/charts/style16.xml" ContentType="application/vnd.ms-office.chartstyle+xml"/>
  <Override PartName="/xl/charts/colors16.xml" ContentType="application/vnd.ms-office.chartcolorstyle+xml"/>
  <Override PartName="/xl/charts/chart19.xml" ContentType="application/vnd.openxmlformats-officedocument.drawingml.chart+xml"/>
  <Override PartName="/xl/charts/style17.xml" ContentType="application/vnd.ms-office.chartstyle+xml"/>
  <Override PartName="/xl/charts/colors17.xml" ContentType="application/vnd.ms-office.chartcolorstyle+xml"/>
  <Override PartName="/xl/charts/chart20.xml" ContentType="application/vnd.openxmlformats-officedocument.drawingml.chart+xml"/>
  <Override PartName="/xl/charts/style18.xml" ContentType="application/vnd.ms-office.chartstyle+xml"/>
  <Override PartName="/xl/charts/colors18.xml" ContentType="application/vnd.ms-office.chartcolorstyle+xml"/>
  <Override PartName="/xl/charts/chart21.xml" ContentType="application/vnd.openxmlformats-officedocument.drawingml.chart+xml"/>
  <Override PartName="/xl/charts/style19.xml" ContentType="application/vnd.ms-office.chartstyle+xml"/>
  <Override PartName="/xl/charts/colors19.xml" ContentType="application/vnd.ms-office.chartcolorstyle+xml"/>
  <Override PartName="/xl/charts/chart22.xml" ContentType="application/vnd.openxmlformats-officedocument.drawingml.chart+xml"/>
  <Override PartName="/xl/charts/style20.xml" ContentType="application/vnd.ms-office.chartstyle+xml"/>
  <Override PartName="/xl/charts/colors20.xml" ContentType="application/vnd.ms-office.chartcolorstyle+xml"/>
  <Override PartName="/xl/charts/chart23.xml" ContentType="application/vnd.openxmlformats-officedocument.drawingml.chart+xml"/>
  <Override PartName="/xl/charts/style21.xml" ContentType="application/vnd.ms-office.chartstyle+xml"/>
  <Override PartName="/xl/charts/colors21.xml" ContentType="application/vnd.ms-office.chartcolorstyle+xml"/>
  <Override PartName="/xl/charts/chart24.xml" ContentType="application/vnd.openxmlformats-officedocument.drawingml.chart+xml"/>
  <Override PartName="/xl/charts/style22.xml" ContentType="application/vnd.ms-office.chartstyle+xml"/>
  <Override PartName="/xl/charts/colors22.xml" ContentType="application/vnd.ms-office.chartcolorstyle+xml"/>
  <Override PartName="/xl/charts/chart25.xml" ContentType="application/vnd.openxmlformats-officedocument.drawingml.chart+xml"/>
  <Override PartName="/xl/charts/style23.xml" ContentType="application/vnd.ms-office.chartstyle+xml"/>
  <Override PartName="/xl/charts/colors23.xml" ContentType="application/vnd.ms-office.chartcolorstyle+xml"/>
  <Override PartName="/xl/charts/chart26.xml" ContentType="application/vnd.openxmlformats-officedocument.drawingml.chart+xml"/>
  <Override PartName="/xl/charts/style24.xml" ContentType="application/vnd.ms-office.chartstyle+xml"/>
  <Override PartName="/xl/charts/colors24.xml" ContentType="application/vnd.ms-office.chartcolorstyle+xml"/>
  <Override PartName="/xl/charts/chart27.xml" ContentType="application/vnd.openxmlformats-officedocument.drawingml.chart+xml"/>
  <Override PartName="/xl/charts/style25.xml" ContentType="application/vnd.ms-office.chartstyle+xml"/>
  <Override PartName="/xl/charts/colors25.xml" ContentType="application/vnd.ms-office.chartcolorstyle+xml"/>
  <Override PartName="/xl/charts/chart28.xml" ContentType="application/vnd.openxmlformats-officedocument.drawingml.chart+xml"/>
  <Override PartName="/xl/charts/style26.xml" ContentType="application/vnd.ms-office.chartstyle+xml"/>
  <Override PartName="/xl/charts/colors26.xml" ContentType="application/vnd.ms-office.chartcolorstyle+xml"/>
  <Override PartName="/xl/charts/chart29.xml" ContentType="application/vnd.openxmlformats-officedocument.drawingml.chart+xml"/>
  <Override PartName="/xl/charts/style27.xml" ContentType="application/vnd.ms-office.chartstyle+xml"/>
  <Override PartName="/xl/charts/colors27.xml" ContentType="application/vnd.ms-office.chartcolorstyle+xml"/>
  <Override PartName="/xl/charts/chart30.xml" ContentType="application/vnd.openxmlformats-officedocument.drawingml.chart+xml"/>
  <Override PartName="/xl/charts/style28.xml" ContentType="application/vnd.ms-office.chartstyle+xml"/>
  <Override PartName="/xl/charts/colors28.xml" ContentType="application/vnd.ms-office.chartcolorstyle+xml"/>
  <Override PartName="/xl/charts/chart31.xml" ContentType="application/vnd.openxmlformats-officedocument.drawingml.chart+xml"/>
  <Override PartName="/xl/charts/style29.xml" ContentType="application/vnd.ms-office.chartstyle+xml"/>
  <Override PartName="/xl/charts/colors29.xml" ContentType="application/vnd.ms-office.chartcolorstyle+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style30.xml" ContentType="application/vnd.ms-office.chartstyle+xml"/>
  <Override PartName="/xl/charts/colors30.xml" ContentType="application/vnd.ms-office.chartcolorstyle+xml"/>
  <Override PartName="/xl/charts/chart38.xml" ContentType="application/vnd.openxmlformats-officedocument.drawingml.chart+xml"/>
  <Override PartName="/xl/charts/style31.xml" ContentType="application/vnd.ms-office.chartstyle+xml"/>
  <Override PartName="/xl/charts/colors31.xml" ContentType="application/vnd.ms-office.chartcolorstyle+xml"/>
  <Override PartName="/xl/charts/chart39.xml" ContentType="application/vnd.openxmlformats-officedocument.drawingml.chart+xml"/>
  <Override PartName="/xl/drawings/drawing20.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1.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drawings/drawing22.xml" ContentType="application/vnd.openxmlformats-officedocument.drawing+xml"/>
  <Override PartName="/xl/tables/table9.xml" ContentType="application/vnd.openxmlformats-officedocument.spreadsheetml.table+xml"/>
  <Override PartName="/xl/tables/table10.xml" ContentType="application/vnd.openxmlformats-officedocument.spreadsheetml.table+xml"/>
  <Override PartName="/xl/drawings/drawing23.xml" ContentType="application/vnd.openxmlformats-officedocument.drawing+xml"/>
  <Override PartName="/xl/tables/table1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aru.local\users\UserData\F03123489\Documents\kybermittari\projektin johto ja kehitys\palautteet ja kehitys\kehitysversiot_työkalu\v2\"/>
    </mc:Choice>
  </mc:AlternateContent>
  <bookViews>
    <workbookView xWindow="2340" yWindow="2340" windowWidth="10224" windowHeight="2952" tabRatio="951" activeTab="2"/>
  </bookViews>
  <sheets>
    <sheet name="Changelog" sheetId="59" r:id="rId1"/>
    <sheet name="Muutokset" sheetId="55" r:id="rId2"/>
    <sheet name="Summary" sheetId="6" r:id="rId3"/>
    <sheet name="CRITICAL" sheetId="12" r:id="rId4"/>
    <sheet name="ASSET" sheetId="8" r:id="rId5"/>
    <sheet name="THREAT" sheetId="21" r:id="rId6"/>
    <sheet name="RISK" sheetId="1" r:id="rId7"/>
    <sheet name="ACCESS" sheetId="10" r:id="rId8"/>
    <sheet name="SITUATION" sheetId="17" r:id="rId9"/>
    <sheet name="RESPONSE" sheetId="18" r:id="rId10"/>
    <sheet name="THIRDPARTY" sheetId="19" r:id="rId11"/>
    <sheet name="WORKFORCE" sheetId="20" r:id="rId12"/>
    <sheet name="ARCHITECTURE" sheetId="16" r:id="rId13"/>
    <sheet name="PROGRAM" sheetId="14" r:id="rId14"/>
    <sheet name="Investment" sheetId="13" r:id="rId15"/>
    <sheet name="R1" sheetId="48" r:id="rId16"/>
    <sheet name="R2" sheetId="34" r:id="rId17"/>
    <sheet name="R3" sheetId="50" r:id="rId18"/>
    <sheet name="R4" sheetId="38" r:id="rId19"/>
    <sheet name="R5" sheetId="51" r:id="rId20"/>
    <sheet name="R6" sheetId="53" r:id="rId21"/>
    <sheet name="R7" sheetId="56" r:id="rId22"/>
    <sheet name="Export" sheetId="39" r:id="rId23"/>
    <sheet name="Export_KTK" sheetId="58" r:id="rId24"/>
    <sheet name="Import" sheetId="32" r:id="rId25"/>
    <sheet name="Infoimport" sheetId="57" r:id="rId26"/>
    <sheet name="Data" sheetId="5" r:id="rId27"/>
    <sheet name="NISTmap" sheetId="49" r:id="rId28"/>
    <sheet name="Migration" sheetId="45" r:id="rId29"/>
    <sheet name="Mapping" sheetId="41" r:id="rId30"/>
    <sheet name="Languages" sheetId="4" r:id="rId31"/>
    <sheet name="Parameters" sheetId="7" r:id="rId32"/>
  </sheets>
  <definedNames>
    <definedName name="_xlnm._FilterDatabase" localSheetId="26" hidden="1">Data!$A$1:$I$370</definedName>
    <definedName name="_xlnm._FilterDatabase" localSheetId="30" hidden="1">Languages!$A$1:$D$602</definedName>
    <definedName name="_xlnm._FilterDatabase" localSheetId="29" hidden="1">Mapping!$A$2:$F$399</definedName>
    <definedName name="_xlnm._FilterDatabase" localSheetId="27" hidden="1">NISTmap!$A$1:$G$1</definedName>
    <definedName name="_xlnm.Print_Area" localSheetId="23">Export_KTK!$A$1:$B$466</definedName>
    <definedName name="_xlnm.Print_Area" localSheetId="29">Mapping!$A$1:$G$399</definedName>
    <definedName name="_xlnm.Print_Area" localSheetId="15">'R1'!$A$1:$M$21</definedName>
    <definedName name="_xlnm.Print_Area" localSheetId="16">'R2'!$A$1:$K$47</definedName>
    <definedName name="_xlnm.Print_Area" localSheetId="17">'R3'!$A$1:$S$118</definedName>
    <definedName name="_xlnm.Print_Area" localSheetId="18">'R4'!$A$1:$K$41</definedName>
    <definedName name="_xlnm.Print_Area" localSheetId="2">Summary!$A$1:$W$48</definedName>
    <definedName name="Testssss" localSheetId="22">Export!#REF!</definedName>
    <definedName name="Testssss" localSheetId="23">Export_KTK!#REF!</definedName>
    <definedName name="wide_schema" localSheetId="22">Export!#REF!</definedName>
    <definedName name="wide_schema" localSheetId="23">Export_KTK!#REF!</definedName>
  </definedNames>
  <calcPr calcId="162913"/>
</workbook>
</file>

<file path=xl/calcChain.xml><?xml version="1.0" encoding="utf-8"?>
<calcChain xmlns="http://schemas.openxmlformats.org/spreadsheetml/2006/main">
  <c r="H12" i="6" l="1"/>
  <c r="H11" i="6"/>
  <c r="B9" i="58"/>
  <c r="B13" i="58" l="1"/>
  <c r="H16" i="39"/>
  <c r="E16" i="39"/>
  <c r="K42" i="45" l="1"/>
  <c r="K43" i="45"/>
  <c r="K44" i="45"/>
  <c r="K41" i="45"/>
  <c r="L83" i="45"/>
  <c r="L85" i="45"/>
  <c r="L86" i="45"/>
  <c r="L92" i="45"/>
  <c r="L95" i="45"/>
  <c r="L96" i="45"/>
  <c r="L97" i="45"/>
  <c r="L98" i="45"/>
  <c r="L99" i="45"/>
  <c r="L100" i="45"/>
  <c r="L101" i="45"/>
  <c r="L102" i="45"/>
  <c r="L103" i="45"/>
  <c r="L106" i="45"/>
  <c r="L109" i="45"/>
  <c r="L115" i="45"/>
  <c r="L119" i="45"/>
  <c r="L122" i="45"/>
  <c r="L123" i="45"/>
  <c r="L124" i="45"/>
  <c r="L125" i="45"/>
  <c r="L127" i="45"/>
  <c r="L128" i="45"/>
  <c r="L129" i="45"/>
  <c r="L130" i="45"/>
  <c r="L131" i="45"/>
  <c r="L132" i="45"/>
  <c r="L133" i="45"/>
  <c r="L134" i="45"/>
  <c r="L135" i="45"/>
  <c r="L136" i="45"/>
  <c r="L137" i="45"/>
  <c r="L138" i="45"/>
  <c r="L139" i="45"/>
  <c r="L140" i="45"/>
  <c r="L141" i="45"/>
  <c r="L144" i="45"/>
  <c r="L145" i="45"/>
  <c r="L146" i="45"/>
  <c r="L148" i="45"/>
  <c r="L155" i="45"/>
  <c r="L156" i="45"/>
  <c r="L160" i="45"/>
  <c r="L163" i="45"/>
  <c r="L165" i="45"/>
  <c r="L168" i="45"/>
  <c r="L172" i="45"/>
  <c r="L174" i="45"/>
  <c r="L177" i="45"/>
  <c r="L181" i="45"/>
  <c r="L185" i="45"/>
  <c r="L196" i="45"/>
  <c r="L199" i="45"/>
  <c r="L249" i="45"/>
  <c r="L252" i="45"/>
  <c r="L281" i="45"/>
  <c r="L286" i="45"/>
  <c r="L287" i="45"/>
  <c r="L288" i="45"/>
  <c r="L292" i="45"/>
  <c r="L298" i="45"/>
  <c r="L301" i="45"/>
  <c r="L302" i="45"/>
  <c r="L303" i="45"/>
  <c r="L304" i="45"/>
  <c r="L305" i="45"/>
  <c r="L306" i="45"/>
  <c r="L307" i="45"/>
  <c r="L309" i="45"/>
  <c r="L310" i="45"/>
  <c r="L311" i="45"/>
  <c r="L312" i="45"/>
  <c r="L313" i="45"/>
  <c r="L314" i="45"/>
  <c r="L315" i="45"/>
  <c r="L316" i="45"/>
  <c r="L317" i="45"/>
  <c r="L318" i="45"/>
  <c r="L319" i="45"/>
  <c r="L320" i="45"/>
  <c r="L321" i="45"/>
  <c r="L322" i="45"/>
  <c r="L323" i="45"/>
  <c r="L324" i="45"/>
  <c r="L325" i="45"/>
  <c r="L326" i="45"/>
  <c r="L327" i="45"/>
  <c r="L328" i="45"/>
  <c r="L329" i="45"/>
  <c r="L330" i="45"/>
  <c r="L331" i="45"/>
  <c r="L332" i="45"/>
  <c r="L335" i="45"/>
  <c r="L338" i="45"/>
  <c r="L340" i="45"/>
  <c r="L341" i="45"/>
  <c r="L364" i="45"/>
  <c r="L367" i="45"/>
  <c r="L369" i="45"/>
  <c r="L370" i="45"/>
  <c r="L371" i="45"/>
  <c r="L372" i="45"/>
  <c r="L374" i="45"/>
  <c r="L375" i="45"/>
  <c r="L376" i="45"/>
  <c r="L380" i="45"/>
  <c r="L386" i="45"/>
  <c r="L389" i="45"/>
  <c r="L408" i="45"/>
  <c r="L415" i="45"/>
  <c r="L418" i="45"/>
  <c r="L435" i="45"/>
  <c r="L445" i="45"/>
  <c r="L448" i="45"/>
  <c r="L449" i="45"/>
  <c r="L450" i="45"/>
  <c r="L451" i="45"/>
  <c r="L452" i="45"/>
  <c r="L453" i="45"/>
  <c r="L454" i="45"/>
  <c r="L455" i="45"/>
  <c r="L456" i="45"/>
  <c r="L457" i="45"/>
  <c r="L458" i="45"/>
  <c r="L459" i="45"/>
  <c r="L460" i="45"/>
  <c r="L461" i="45"/>
  <c r="L462" i="45"/>
  <c r="L463" i="45"/>
  <c r="L464" i="45"/>
  <c r="L465" i="45"/>
  <c r="L466" i="45"/>
  <c r="L467" i="45"/>
  <c r="L468" i="45"/>
  <c r="L469" i="45"/>
  <c r="L470" i="45"/>
  <c r="B12" i="58" l="1"/>
  <c r="B11" i="58"/>
  <c r="B10" i="58"/>
  <c r="B8" i="58"/>
  <c r="B7" i="58"/>
  <c r="B6" i="58"/>
  <c r="K15" i="45" l="1"/>
  <c r="K14" i="45"/>
  <c r="H12" i="39"/>
  <c r="E12" i="39"/>
  <c r="C2" i="57"/>
  <c r="C5" i="57" s="1"/>
  <c r="O3" i="8" s="1"/>
  <c r="B1" i="7"/>
  <c r="B13" i="7" s="1"/>
  <c r="B19" i="7" l="1"/>
  <c r="C6" i="57"/>
  <c r="O3" i="21" s="1"/>
  <c r="C11" i="57"/>
  <c r="O3" i="19" s="1"/>
  <c r="B41" i="7"/>
  <c r="C9" i="57"/>
  <c r="O3" i="17" s="1"/>
  <c r="B51" i="7"/>
  <c r="C8" i="57"/>
  <c r="O3" i="10" s="1"/>
  <c r="B26" i="7"/>
  <c r="C4" i="57"/>
  <c r="O3" i="12" s="1"/>
  <c r="C7" i="57"/>
  <c r="O3" i="1" s="1"/>
  <c r="C12" i="57"/>
  <c r="O3" i="20" s="1"/>
  <c r="C10" i="57"/>
  <c r="O3" i="18" s="1"/>
  <c r="C14" i="57"/>
  <c r="O3" i="14" s="1"/>
  <c r="C13" i="57"/>
  <c r="O3" i="16" s="1"/>
  <c r="J15" i="56"/>
  <c r="I15" i="56"/>
  <c r="H15" i="56"/>
  <c r="G15" i="56"/>
  <c r="F15" i="56"/>
  <c r="E15" i="56"/>
  <c r="I8" i="56"/>
  <c r="H8" i="56"/>
  <c r="G8" i="56"/>
  <c r="F8" i="56"/>
  <c r="E8" i="56"/>
  <c r="E13" i="39" l="1"/>
  <c r="F20" i="1" l="1"/>
  <c r="F18" i="1"/>
  <c r="F16" i="1"/>
  <c r="F14" i="1"/>
  <c r="K83" i="45" l="1"/>
  <c r="K85" i="45"/>
  <c r="K86" i="45"/>
  <c r="K92" i="45"/>
  <c r="K95" i="45"/>
  <c r="K96" i="45"/>
  <c r="K97" i="45"/>
  <c r="K98" i="45"/>
  <c r="K99" i="45"/>
  <c r="K100" i="45"/>
  <c r="K101" i="45"/>
  <c r="K102" i="45"/>
  <c r="K103" i="45"/>
  <c r="K106" i="45"/>
  <c r="K109" i="45"/>
  <c r="K115" i="45"/>
  <c r="K119" i="45"/>
  <c r="K122" i="45"/>
  <c r="K123" i="45"/>
  <c r="K124" i="45"/>
  <c r="K125" i="45"/>
  <c r="K127" i="45"/>
  <c r="K128" i="45"/>
  <c r="K129" i="45"/>
  <c r="K130" i="45"/>
  <c r="K131" i="45"/>
  <c r="K132" i="45"/>
  <c r="K133" i="45"/>
  <c r="K134" i="45"/>
  <c r="K135" i="45"/>
  <c r="K136" i="45"/>
  <c r="K137" i="45"/>
  <c r="K138" i="45"/>
  <c r="K139" i="45"/>
  <c r="K140" i="45"/>
  <c r="K141" i="45"/>
  <c r="K144" i="45"/>
  <c r="K145" i="45"/>
  <c r="K146" i="45"/>
  <c r="K148" i="45"/>
  <c r="K155" i="45"/>
  <c r="K156" i="45"/>
  <c r="K160" i="45"/>
  <c r="K163" i="45"/>
  <c r="K165" i="45"/>
  <c r="K168" i="45"/>
  <c r="K172" i="45"/>
  <c r="K174" i="45"/>
  <c r="K177" i="45"/>
  <c r="K181" i="45"/>
  <c r="K185" i="45"/>
  <c r="K196" i="45"/>
  <c r="K199" i="45"/>
  <c r="K249" i="45"/>
  <c r="K252" i="45"/>
  <c r="K281" i="45"/>
  <c r="K286" i="45"/>
  <c r="K287" i="45"/>
  <c r="K288" i="45"/>
  <c r="K292" i="45"/>
  <c r="K298" i="45"/>
  <c r="K301" i="45"/>
  <c r="K302" i="45"/>
  <c r="K303" i="45"/>
  <c r="K304" i="45"/>
  <c r="K305" i="45"/>
  <c r="K306" i="45"/>
  <c r="K307" i="45"/>
  <c r="K309" i="45"/>
  <c r="K310" i="45"/>
  <c r="K311" i="45"/>
  <c r="K312" i="45"/>
  <c r="K313" i="45"/>
  <c r="K314" i="45"/>
  <c r="K315" i="45"/>
  <c r="K316" i="45"/>
  <c r="K317" i="45"/>
  <c r="K318" i="45"/>
  <c r="K319" i="45"/>
  <c r="K320" i="45"/>
  <c r="K321" i="45"/>
  <c r="K322" i="45"/>
  <c r="K323" i="45"/>
  <c r="K324" i="45"/>
  <c r="K325" i="45"/>
  <c r="K326" i="45"/>
  <c r="K327" i="45"/>
  <c r="K328" i="45"/>
  <c r="K329" i="45"/>
  <c r="K330" i="45"/>
  <c r="K331" i="45"/>
  <c r="K332" i="45"/>
  <c r="K335" i="45"/>
  <c r="K338" i="45"/>
  <c r="K340" i="45"/>
  <c r="K341" i="45"/>
  <c r="K364" i="45"/>
  <c r="K367" i="45"/>
  <c r="K369" i="45"/>
  <c r="K370" i="45"/>
  <c r="K371" i="45"/>
  <c r="K372" i="45"/>
  <c r="K374" i="45"/>
  <c r="K375" i="45"/>
  <c r="K376" i="45"/>
  <c r="K380" i="45"/>
  <c r="K386" i="45"/>
  <c r="K389" i="45"/>
  <c r="K408" i="45"/>
  <c r="K415" i="45"/>
  <c r="K418" i="45"/>
  <c r="K435" i="45"/>
  <c r="K445" i="45"/>
  <c r="K448" i="45"/>
  <c r="K449" i="45"/>
  <c r="K450" i="45"/>
  <c r="K451" i="45"/>
  <c r="K452" i="45"/>
  <c r="K453" i="45"/>
  <c r="K454" i="45"/>
  <c r="K455" i="45"/>
  <c r="K456" i="45"/>
  <c r="K457" i="45"/>
  <c r="K458" i="45"/>
  <c r="K459" i="45"/>
  <c r="K460" i="45"/>
  <c r="K461" i="45"/>
  <c r="K462" i="45"/>
  <c r="K463" i="45"/>
  <c r="K464" i="45"/>
  <c r="K465" i="45"/>
  <c r="K466" i="45"/>
  <c r="K467" i="45"/>
  <c r="K468" i="45"/>
  <c r="K469" i="45"/>
  <c r="K470" i="45"/>
  <c r="C3" i="41"/>
  <c r="G3" i="41" s="1"/>
  <c r="L80" i="45" s="1"/>
  <c r="C4" i="41"/>
  <c r="G4" i="41" s="1"/>
  <c r="L81" i="45" s="1"/>
  <c r="C5" i="41"/>
  <c r="G5" i="41" s="1"/>
  <c r="L82" i="45" s="1"/>
  <c r="C6" i="41"/>
  <c r="C7" i="41"/>
  <c r="C8" i="41"/>
  <c r="G8" i="41" s="1"/>
  <c r="L84" i="45" s="1"/>
  <c r="C9" i="41"/>
  <c r="C10" i="41"/>
  <c r="G10" i="41" s="1"/>
  <c r="L88" i="45" s="1"/>
  <c r="C11" i="41"/>
  <c r="C12" i="41"/>
  <c r="G12" i="41" s="1"/>
  <c r="L87" i="45" s="1"/>
  <c r="C13" i="41"/>
  <c r="G13" i="41" s="1"/>
  <c r="L89" i="45" s="1"/>
  <c r="C14" i="41"/>
  <c r="G14" i="41" s="1"/>
  <c r="L90" i="45" s="1"/>
  <c r="C15" i="41"/>
  <c r="G15" i="41" s="1"/>
  <c r="L91" i="45" s="1"/>
  <c r="C16" i="41"/>
  <c r="C17" i="41"/>
  <c r="G17" i="41" s="1"/>
  <c r="L93" i="45" s="1"/>
  <c r="C18" i="41"/>
  <c r="G18" i="41" s="1"/>
  <c r="L94" i="45" s="1"/>
  <c r="C19" i="41"/>
  <c r="G19" i="41" s="1"/>
  <c r="L104" i="45" s="1"/>
  <c r="C20" i="41"/>
  <c r="G20" i="41" s="1"/>
  <c r="L105" i="45" s="1"/>
  <c r="C21" i="41"/>
  <c r="G21" i="41" s="1"/>
  <c r="L107" i="45" s="1"/>
  <c r="C22" i="41"/>
  <c r="G22" i="41" s="1"/>
  <c r="L108" i="45" s="1"/>
  <c r="C23" i="41"/>
  <c r="C24" i="41"/>
  <c r="C25" i="41"/>
  <c r="C26" i="41"/>
  <c r="G26" i="41" s="1"/>
  <c r="L110" i="45" s="1"/>
  <c r="C27" i="41"/>
  <c r="G27" i="41" s="1"/>
  <c r="L111" i="45" s="1"/>
  <c r="C28" i="41"/>
  <c r="G28" i="41" s="1"/>
  <c r="L112" i="45" s="1"/>
  <c r="C29" i="41"/>
  <c r="G29" i="41" s="1"/>
  <c r="L113" i="45" s="1"/>
  <c r="C30" i="41"/>
  <c r="G30" i="41" s="1"/>
  <c r="L114" i="45" s="1"/>
  <c r="C31" i="41"/>
  <c r="C32" i="41"/>
  <c r="C33" i="41"/>
  <c r="C34" i="41"/>
  <c r="C35" i="41"/>
  <c r="G35" i="41" s="1"/>
  <c r="L116" i="45" s="1"/>
  <c r="C36" i="41"/>
  <c r="G36" i="41" s="1"/>
  <c r="L117" i="45" s="1"/>
  <c r="C37" i="41"/>
  <c r="G37" i="41" s="1"/>
  <c r="L118" i="45" s="1"/>
  <c r="C38" i="41"/>
  <c r="G38" i="41" s="1"/>
  <c r="L120" i="45" s="1"/>
  <c r="C39" i="41"/>
  <c r="G39" i="41" s="1"/>
  <c r="L121" i="45" s="1"/>
  <c r="C40" i="41"/>
  <c r="G40" i="41" s="1"/>
  <c r="L126" i="45" s="1"/>
  <c r="C41" i="41"/>
  <c r="G41" i="41" s="1"/>
  <c r="L142" i="45" s="1"/>
  <c r="C42" i="41"/>
  <c r="G42" i="41" s="1"/>
  <c r="L143" i="45" s="1"/>
  <c r="C43" i="41"/>
  <c r="G43" i="41" s="1"/>
  <c r="L147" i="45" s="1"/>
  <c r="C44" i="41"/>
  <c r="G44" i="41" s="1"/>
  <c r="L149" i="45" s="1"/>
  <c r="C45" i="41"/>
  <c r="G45" i="41" s="1"/>
  <c r="L150" i="45" s="1"/>
  <c r="C46" i="41"/>
  <c r="C47" i="41"/>
  <c r="G47" i="41" s="1"/>
  <c r="L154" i="45" s="1"/>
  <c r="C48" i="41"/>
  <c r="G48" i="41" s="1"/>
  <c r="L153" i="45" s="1"/>
  <c r="C49" i="41"/>
  <c r="C50" i="41"/>
  <c r="G50" i="41" s="1"/>
  <c r="L151" i="45" s="1"/>
  <c r="C51" i="41"/>
  <c r="G51" i="41" s="1"/>
  <c r="L152" i="45" s="1"/>
  <c r="C52" i="41"/>
  <c r="C53" i="41"/>
  <c r="G53" i="41" s="1"/>
  <c r="L157" i="45" s="1"/>
  <c r="C54" i="41"/>
  <c r="G54" i="41" s="1"/>
  <c r="L158" i="45" s="1"/>
  <c r="C55" i="41"/>
  <c r="G55" i="41" s="1"/>
  <c r="L159" i="45" s="1"/>
  <c r="C56" i="41"/>
  <c r="G56" i="41" s="1"/>
  <c r="L161" i="45" s="1"/>
  <c r="C57" i="41"/>
  <c r="G57" i="41" s="1"/>
  <c r="L162" i="45" s="1"/>
  <c r="C58" i="41"/>
  <c r="C59" i="41"/>
  <c r="C60" i="41"/>
  <c r="C61" i="41"/>
  <c r="G61" i="41" s="1"/>
  <c r="L164" i="45" s="1"/>
  <c r="C62" i="41"/>
  <c r="G62" i="41" s="1"/>
  <c r="L166" i="45" s="1"/>
  <c r="C63" i="41"/>
  <c r="G63" i="41" s="1"/>
  <c r="L167" i="45" s="1"/>
  <c r="C64" i="41"/>
  <c r="G64" i="41" s="1"/>
  <c r="L169" i="45" s="1"/>
  <c r="C65" i="41"/>
  <c r="G65" i="41" s="1"/>
  <c r="L170" i="45" s="1"/>
  <c r="C66" i="41"/>
  <c r="G66" i="41" s="1"/>
  <c r="L171" i="45" s="1"/>
  <c r="C67" i="41"/>
  <c r="G67" i="41" s="1"/>
  <c r="L173" i="45" s="1"/>
  <c r="C68" i="41"/>
  <c r="G68" i="41" s="1"/>
  <c r="L175" i="45" s="1"/>
  <c r="C69" i="41"/>
  <c r="G69" i="41" s="1"/>
  <c r="L176" i="45" s="1"/>
  <c r="C70" i="41"/>
  <c r="G70" i="41" s="1"/>
  <c r="L178" i="45" s="1"/>
  <c r="C71" i="41"/>
  <c r="G71" i="41" s="1"/>
  <c r="L179" i="45" s="1"/>
  <c r="C72" i="41"/>
  <c r="G72" i="41" s="1"/>
  <c r="L180" i="45" s="1"/>
  <c r="C73" i="41"/>
  <c r="G73" i="41" s="1"/>
  <c r="L182" i="45" s="1"/>
  <c r="C74" i="41"/>
  <c r="G74" i="41" s="1"/>
  <c r="L183" i="45" s="1"/>
  <c r="C75" i="41"/>
  <c r="G75" i="41" s="1"/>
  <c r="L184" i="45" s="1"/>
  <c r="C76" i="41"/>
  <c r="G76" i="41" s="1"/>
  <c r="L186" i="45" s="1"/>
  <c r="C77" i="41"/>
  <c r="G77" i="41" s="1"/>
  <c r="L187" i="45" s="1"/>
  <c r="C78" i="41"/>
  <c r="C79" i="41"/>
  <c r="G79" i="41" s="1"/>
  <c r="L188" i="45" s="1"/>
  <c r="C80" i="41"/>
  <c r="G80" i="41" s="1"/>
  <c r="L189" i="45" s="1"/>
  <c r="C81" i="41"/>
  <c r="G81" i="41" s="1"/>
  <c r="L190" i="45" s="1"/>
  <c r="C82" i="41"/>
  <c r="G82" i="41" s="1"/>
  <c r="L191" i="45" s="1"/>
  <c r="C83" i="41"/>
  <c r="G83" i="41" s="1"/>
  <c r="L192" i="45" s="1"/>
  <c r="C84" i="41"/>
  <c r="G84" i="41" s="1"/>
  <c r="L193" i="45" s="1"/>
  <c r="C85" i="41"/>
  <c r="G85" i="41" s="1"/>
  <c r="L194" i="45" s="1"/>
  <c r="C86" i="41"/>
  <c r="G86" i="41" s="1"/>
  <c r="L195" i="45" s="1"/>
  <c r="C87" i="41"/>
  <c r="G87" i="41" s="1"/>
  <c r="L197" i="45" s="1"/>
  <c r="C88" i="41"/>
  <c r="G88" i="41" s="1"/>
  <c r="L198" i="45" s="1"/>
  <c r="C89" i="41"/>
  <c r="C90" i="41"/>
  <c r="C91" i="41"/>
  <c r="C92" i="41"/>
  <c r="G92" i="41" s="1"/>
  <c r="L200" i="45" s="1"/>
  <c r="C93" i="41"/>
  <c r="G93" i="41" s="1"/>
  <c r="L201" i="45" s="1"/>
  <c r="C94" i="41"/>
  <c r="G94" i="41" s="1"/>
  <c r="L202" i="45" s="1"/>
  <c r="C95" i="41"/>
  <c r="G95" i="41" s="1"/>
  <c r="L203" i="45" s="1"/>
  <c r="C96" i="41"/>
  <c r="G96" i="41" s="1"/>
  <c r="L204" i="45" s="1"/>
  <c r="C97" i="41"/>
  <c r="G97" i="41" s="1"/>
  <c r="L205" i="45" s="1"/>
  <c r="C98" i="41"/>
  <c r="G98" i="41" s="1"/>
  <c r="L206" i="45" s="1"/>
  <c r="C99" i="41"/>
  <c r="G99" i="41" s="1"/>
  <c r="L207" i="45" s="1"/>
  <c r="C100" i="41"/>
  <c r="G100" i="41" s="1"/>
  <c r="L208" i="45" s="1"/>
  <c r="C101" i="41"/>
  <c r="G101" i="41" s="1"/>
  <c r="L209" i="45" s="1"/>
  <c r="C102" i="41"/>
  <c r="G102" i="41" s="1"/>
  <c r="L210" i="45" s="1"/>
  <c r="C103" i="41"/>
  <c r="G103" i="41" s="1"/>
  <c r="L211" i="45" s="1"/>
  <c r="C104" i="41"/>
  <c r="G104" i="41" s="1"/>
  <c r="L212" i="45" s="1"/>
  <c r="C105" i="41"/>
  <c r="G105" i="41" s="1"/>
  <c r="L213" i="45" s="1"/>
  <c r="C106" i="41"/>
  <c r="G106" i="41" s="1"/>
  <c r="L214" i="45" s="1"/>
  <c r="C107" i="41"/>
  <c r="G107" i="41" s="1"/>
  <c r="L215" i="45" s="1"/>
  <c r="C108" i="41"/>
  <c r="G108" i="41" s="1"/>
  <c r="L216" i="45" s="1"/>
  <c r="C109" i="41"/>
  <c r="G109" i="41" s="1"/>
  <c r="L217" i="45" s="1"/>
  <c r="C110" i="41"/>
  <c r="G110" i="41" s="1"/>
  <c r="L218" i="45" s="1"/>
  <c r="C111" i="41"/>
  <c r="G111" i="41" s="1"/>
  <c r="L219" i="45" s="1"/>
  <c r="C112" i="41"/>
  <c r="G112" i="41" s="1"/>
  <c r="L220" i="45" s="1"/>
  <c r="C113" i="41"/>
  <c r="G113" i="41" s="1"/>
  <c r="L221" i="45" s="1"/>
  <c r="C114" i="41"/>
  <c r="G114" i="41" s="1"/>
  <c r="L222" i="45" s="1"/>
  <c r="C115" i="41"/>
  <c r="G115" i="41" s="1"/>
  <c r="L223" i="45" s="1"/>
  <c r="C116" i="41"/>
  <c r="G116" i="41" s="1"/>
  <c r="L224" i="45" s="1"/>
  <c r="C117" i="41"/>
  <c r="G117" i="41" s="1"/>
  <c r="L225" i="45" s="1"/>
  <c r="C118" i="41"/>
  <c r="G118" i="41" s="1"/>
  <c r="L226" i="45" s="1"/>
  <c r="C119" i="41"/>
  <c r="G119" i="41" s="1"/>
  <c r="L368" i="45" s="1"/>
  <c r="C120" i="41"/>
  <c r="C121" i="41"/>
  <c r="C122" i="41"/>
  <c r="C123" i="41"/>
  <c r="C124" i="41"/>
  <c r="C125" i="41"/>
  <c r="C126" i="41"/>
  <c r="C127" i="41"/>
  <c r="G127" i="41" s="1"/>
  <c r="L373" i="45" s="1"/>
  <c r="C128" i="41"/>
  <c r="C129" i="41"/>
  <c r="C130" i="41"/>
  <c r="C131" i="41"/>
  <c r="G131" i="41" s="1"/>
  <c r="L378" i="45" s="1"/>
  <c r="C132" i="41"/>
  <c r="C133" i="41"/>
  <c r="C134" i="41"/>
  <c r="G134" i="41" s="1"/>
  <c r="L379" i="45" s="1"/>
  <c r="C135" i="41"/>
  <c r="G135" i="41" s="1"/>
  <c r="L377" i="45" s="1"/>
  <c r="C136" i="41"/>
  <c r="G136" i="41" s="1"/>
  <c r="L381" i="45" s="1"/>
  <c r="C137" i="41"/>
  <c r="G137" i="41" s="1"/>
  <c r="L382" i="45" s="1"/>
  <c r="C138" i="41"/>
  <c r="C139" i="41"/>
  <c r="G139" i="41" s="1"/>
  <c r="L383" i="45" s="1"/>
  <c r="C140" i="41"/>
  <c r="G140" i="41" s="1"/>
  <c r="L384" i="45" s="1"/>
  <c r="C141" i="41"/>
  <c r="G141" i="41" s="1"/>
  <c r="L385" i="45" s="1"/>
  <c r="C142" i="41"/>
  <c r="G142" i="41" s="1"/>
  <c r="L387" i="45" s="1"/>
  <c r="C143" i="41"/>
  <c r="G143" i="41" s="1"/>
  <c r="L388" i="45" s="1"/>
  <c r="C144" i="41"/>
  <c r="C145" i="41"/>
  <c r="C146" i="41"/>
  <c r="C147" i="41"/>
  <c r="G147" i="41" s="1"/>
  <c r="L227" i="45" s="1"/>
  <c r="C148" i="41"/>
  <c r="G148" i="41" s="1"/>
  <c r="L228" i="45" s="1"/>
  <c r="C149" i="41"/>
  <c r="G149" i="41" s="1"/>
  <c r="L229" i="45" s="1"/>
  <c r="C150" i="41"/>
  <c r="G150" i="41" s="1"/>
  <c r="L230" i="45" s="1"/>
  <c r="C151" i="41"/>
  <c r="G151" i="41" s="1"/>
  <c r="L231" i="45" s="1"/>
  <c r="C152" i="41"/>
  <c r="G152" i="41" s="1"/>
  <c r="L232" i="45" s="1"/>
  <c r="C153" i="41"/>
  <c r="G153" i="41" s="1"/>
  <c r="L233" i="45" s="1"/>
  <c r="C154" i="41"/>
  <c r="G154" i="41" s="1"/>
  <c r="L234" i="45" s="1"/>
  <c r="C155" i="41"/>
  <c r="G155" i="41" s="1"/>
  <c r="L235" i="45" s="1"/>
  <c r="C156" i="41"/>
  <c r="G156" i="41" s="1"/>
  <c r="L236" i="45" s="1"/>
  <c r="C157" i="41"/>
  <c r="G157" i="41" s="1"/>
  <c r="L237" i="45" s="1"/>
  <c r="C158" i="41"/>
  <c r="G158" i="41" s="1"/>
  <c r="L238" i="45" s="1"/>
  <c r="C159" i="41"/>
  <c r="G159" i="41" s="1"/>
  <c r="L239" i="45" s="1"/>
  <c r="C160" i="41"/>
  <c r="G160" i="41" s="1"/>
  <c r="L240" i="45" s="1"/>
  <c r="C161" i="41"/>
  <c r="G161" i="41" s="1"/>
  <c r="L241" i="45" s="1"/>
  <c r="C162" i="41"/>
  <c r="G162" i="41" s="1"/>
  <c r="L242" i="45" s="1"/>
  <c r="C163" i="41"/>
  <c r="G163" i="41" s="1"/>
  <c r="L243" i="45" s="1"/>
  <c r="C164" i="41"/>
  <c r="G164" i="41" s="1"/>
  <c r="L244" i="45" s="1"/>
  <c r="C165" i="41"/>
  <c r="G165" i="41" s="1"/>
  <c r="L245" i="45" s="1"/>
  <c r="C166" i="41"/>
  <c r="G166" i="41" s="1"/>
  <c r="L246" i="45" s="1"/>
  <c r="C167" i="41"/>
  <c r="G167" i="41" s="1"/>
  <c r="L279" i="45" s="1"/>
  <c r="C168" i="41"/>
  <c r="G168" i="41" s="1"/>
  <c r="L280" i="45" s="1"/>
  <c r="C169" i="41"/>
  <c r="G169" i="41" s="1"/>
  <c r="L282" i="45" s="1"/>
  <c r="C170" i="41"/>
  <c r="G170" i="41" s="1"/>
  <c r="L283" i="45" s="1"/>
  <c r="C171" i="41"/>
  <c r="G171" i="41" s="1"/>
  <c r="L284" i="45" s="1"/>
  <c r="C172" i="41"/>
  <c r="G172" i="41" s="1"/>
  <c r="L285" i="45" s="1"/>
  <c r="C173" i="41"/>
  <c r="G173" i="41" s="1"/>
  <c r="L289" i="45" s="1"/>
  <c r="C174" i="41"/>
  <c r="G174" i="41" s="1"/>
  <c r="L290" i="45" s="1"/>
  <c r="C175" i="41"/>
  <c r="C176" i="41"/>
  <c r="G176" i="41" s="1"/>
  <c r="L291" i="45" s="1"/>
  <c r="C177" i="41"/>
  <c r="G177" i="41" s="1"/>
  <c r="L293" i="45" s="1"/>
  <c r="C178" i="41"/>
  <c r="G178" i="41" s="1"/>
  <c r="L294" i="45" s="1"/>
  <c r="C179" i="41"/>
  <c r="G179" i="41" s="1"/>
  <c r="L295" i="45" s="1"/>
  <c r="C180" i="41"/>
  <c r="G180" i="41" s="1"/>
  <c r="L247" i="45" s="1"/>
  <c r="C181" i="41"/>
  <c r="G181" i="41" s="1"/>
  <c r="L248" i="45" s="1"/>
  <c r="C182" i="41"/>
  <c r="G182" i="41" s="1"/>
  <c r="L250" i="45" s="1"/>
  <c r="C183" i="41"/>
  <c r="G183" i="41" s="1"/>
  <c r="L251" i="45" s="1"/>
  <c r="C184" i="41"/>
  <c r="C185" i="41"/>
  <c r="C186" i="41"/>
  <c r="C187" i="41"/>
  <c r="G187" i="41" s="1"/>
  <c r="L253" i="45" s="1"/>
  <c r="C188" i="41"/>
  <c r="G188" i="41" s="1"/>
  <c r="L254" i="45" s="1"/>
  <c r="C189" i="41"/>
  <c r="G189" i="41" s="1"/>
  <c r="L255" i="45" s="1"/>
  <c r="C190" i="41"/>
  <c r="G190" i="41" s="1"/>
  <c r="L256" i="45" s="1"/>
  <c r="C191" i="41"/>
  <c r="G191" i="41" s="1"/>
  <c r="L257" i="45" s="1"/>
  <c r="C192" i="41"/>
  <c r="G192" i="41" s="1"/>
  <c r="L258" i="45" s="1"/>
  <c r="C193" i="41"/>
  <c r="G193" i="41" s="1"/>
  <c r="L259" i="45" s="1"/>
  <c r="C194" i="41"/>
  <c r="G194" i="41" s="1"/>
  <c r="L260" i="45" s="1"/>
  <c r="C195" i="41"/>
  <c r="G195" i="41" s="1"/>
  <c r="L261" i="45" s="1"/>
  <c r="C196" i="41"/>
  <c r="G196" i="41" s="1"/>
  <c r="L263" i="45" s="1"/>
  <c r="C197" i="41"/>
  <c r="G197" i="41" s="1"/>
  <c r="L262" i="45" s="1"/>
  <c r="C198" i="41"/>
  <c r="G198" i="41" s="1"/>
  <c r="L264" i="45" s="1"/>
  <c r="C199" i="41"/>
  <c r="G199" i="41" s="1"/>
  <c r="L265" i="45" s="1"/>
  <c r="C200" i="41"/>
  <c r="G200" i="41" s="1"/>
  <c r="L266" i="45" s="1"/>
  <c r="C201" i="41"/>
  <c r="G201" i="41" s="1"/>
  <c r="L267" i="45" s="1"/>
  <c r="C202" i="41"/>
  <c r="G202" i="41" s="1"/>
  <c r="L268" i="45" s="1"/>
  <c r="C203" i="41"/>
  <c r="G203" i="41" s="1"/>
  <c r="L269" i="45" s="1"/>
  <c r="C204" i="41"/>
  <c r="G204" i="41" s="1"/>
  <c r="L270" i="45" s="1"/>
  <c r="C205" i="41"/>
  <c r="G205" i="41" s="1"/>
  <c r="L271" i="45" s="1"/>
  <c r="C206" i="41"/>
  <c r="G206" i="41" s="1"/>
  <c r="L272" i="45" s="1"/>
  <c r="C207" i="41"/>
  <c r="G207" i="41" s="1"/>
  <c r="L273" i="45" s="1"/>
  <c r="C208" i="41"/>
  <c r="G208" i="41" s="1"/>
  <c r="L274" i="45" s="1"/>
  <c r="C209" i="41"/>
  <c r="G209" i="41" s="1"/>
  <c r="L275" i="45" s="1"/>
  <c r="C210" i="41"/>
  <c r="G210" i="41" s="1"/>
  <c r="L276" i="45" s="1"/>
  <c r="C211" i="41"/>
  <c r="G211" i="41" s="1"/>
  <c r="L277" i="45" s="1"/>
  <c r="C212" i="41"/>
  <c r="G212" i="41" s="1"/>
  <c r="L278" i="45" s="1"/>
  <c r="C213" i="41"/>
  <c r="G213" i="41" s="1"/>
  <c r="L296" i="45" s="1"/>
  <c r="C214" i="41"/>
  <c r="G214" i="41" s="1"/>
  <c r="L297" i="45" s="1"/>
  <c r="C215" i="41"/>
  <c r="G215" i="41" s="1"/>
  <c r="L299" i="45" s="1"/>
  <c r="C216" i="41"/>
  <c r="G216" i="41" s="1"/>
  <c r="L300" i="45" s="1"/>
  <c r="C217" i="41"/>
  <c r="C218" i="41"/>
  <c r="C219" i="41"/>
  <c r="C220" i="41"/>
  <c r="G220" i="41" s="1"/>
  <c r="L308" i="45" s="1"/>
  <c r="C221" i="41"/>
  <c r="C222" i="41"/>
  <c r="C223" i="41"/>
  <c r="C224" i="41"/>
  <c r="C225" i="41"/>
  <c r="C226" i="41"/>
  <c r="C227" i="41"/>
  <c r="C228" i="41"/>
  <c r="C229" i="41"/>
  <c r="C230" i="41"/>
  <c r="C231" i="41"/>
  <c r="C232" i="41"/>
  <c r="C233" i="41"/>
  <c r="C234" i="41"/>
  <c r="C235" i="41"/>
  <c r="C236" i="41"/>
  <c r="G236" i="41" s="1"/>
  <c r="L333" i="45" s="1"/>
  <c r="C237" i="41"/>
  <c r="G237" i="41" s="1"/>
  <c r="L334" i="45" s="1"/>
  <c r="C238" i="41"/>
  <c r="G238" i="41" s="1"/>
  <c r="L336" i="45" s="1"/>
  <c r="C239" i="41"/>
  <c r="G239" i="41" s="1"/>
  <c r="L337" i="45" s="1"/>
  <c r="C240" i="41"/>
  <c r="C241" i="41"/>
  <c r="C242" i="41"/>
  <c r="C243" i="41"/>
  <c r="G243" i="41" s="1"/>
  <c r="L339" i="45" s="1"/>
  <c r="C244" i="41"/>
  <c r="C245" i="41"/>
  <c r="G245" i="41" s="1"/>
  <c r="L342" i="45" s="1"/>
  <c r="C246" i="41"/>
  <c r="G246" i="41" s="1"/>
  <c r="L343" i="45" s="1"/>
  <c r="C247" i="41"/>
  <c r="G247" i="41" s="1"/>
  <c r="L344" i="45" s="1"/>
  <c r="C248" i="41"/>
  <c r="G248" i="41" s="1"/>
  <c r="L345" i="45" s="1"/>
  <c r="C249" i="41"/>
  <c r="G249" i="41" s="1"/>
  <c r="L346" i="45" s="1"/>
  <c r="C250" i="41"/>
  <c r="G250" i="41" s="1"/>
  <c r="L347" i="45" s="1"/>
  <c r="C251" i="41"/>
  <c r="G251" i="41" s="1"/>
  <c r="L348" i="45" s="1"/>
  <c r="C252" i="41"/>
  <c r="G252" i="41" s="1"/>
  <c r="L349" i="45" s="1"/>
  <c r="C253" i="41"/>
  <c r="G253" i="41" s="1"/>
  <c r="L350" i="45" s="1"/>
  <c r="C254" i="41"/>
  <c r="G254" i="41" s="1"/>
  <c r="L351" i="45" s="1"/>
  <c r="C255" i="41"/>
  <c r="G255" i="41" s="1"/>
  <c r="L352" i="45" s="1"/>
  <c r="C256" i="41"/>
  <c r="G256" i="41" s="1"/>
  <c r="L353" i="45" s="1"/>
  <c r="C257" i="41"/>
  <c r="G257" i="41" s="1"/>
  <c r="L354" i="45" s="1"/>
  <c r="C258" i="41"/>
  <c r="G258" i="41" s="1"/>
  <c r="L355" i="45" s="1"/>
  <c r="C259" i="41"/>
  <c r="G259" i="41" s="1"/>
  <c r="L356" i="45" s="1"/>
  <c r="C260" i="41"/>
  <c r="G260" i="41" s="1"/>
  <c r="L357" i="45" s="1"/>
  <c r="C261" i="41"/>
  <c r="G261" i="41" s="1"/>
  <c r="L358" i="45" s="1"/>
  <c r="C262" i="41"/>
  <c r="G262" i="41" s="1"/>
  <c r="L359" i="45" s="1"/>
  <c r="C263" i="41"/>
  <c r="G263" i="41" s="1"/>
  <c r="L360" i="45" s="1"/>
  <c r="C264" i="41"/>
  <c r="G264" i="41" s="1"/>
  <c r="L361" i="45" s="1"/>
  <c r="C265" i="41"/>
  <c r="G265" i="41" s="1"/>
  <c r="L362" i="45" s="1"/>
  <c r="C266" i="41"/>
  <c r="G266" i="41" s="1"/>
  <c r="L363" i="45" s="1"/>
  <c r="C267" i="41"/>
  <c r="G267" i="41" s="1"/>
  <c r="L365" i="45" s="1"/>
  <c r="C268" i="41"/>
  <c r="G268" i="41" s="1"/>
  <c r="L366" i="45" s="1"/>
  <c r="C269" i="41"/>
  <c r="C270" i="41"/>
  <c r="C271" i="41"/>
  <c r="C272" i="41"/>
  <c r="G272" i="41" s="1"/>
  <c r="L402" i="45" s="1"/>
  <c r="C273" i="41"/>
  <c r="G273" i="41" s="1"/>
  <c r="L403" i="45" s="1"/>
  <c r="C274" i="41"/>
  <c r="G274" i="41" s="1"/>
  <c r="L404" i="45" s="1"/>
  <c r="C275" i="41"/>
  <c r="G275" i="41" s="1"/>
  <c r="L405" i="45" s="1"/>
  <c r="C276" i="41"/>
  <c r="G276" i="41" s="1"/>
  <c r="L406" i="45" s="1"/>
  <c r="C277" i="41"/>
  <c r="G277" i="41" s="1"/>
  <c r="L407" i="45" s="1"/>
  <c r="C278" i="41"/>
  <c r="C279" i="41"/>
  <c r="G279" i="41" s="1"/>
  <c r="L409" i="45" s="1"/>
  <c r="C280" i="41"/>
  <c r="G280" i="41" s="1"/>
  <c r="L410" i="45" s="1"/>
  <c r="C281" i="41"/>
  <c r="G281" i="41" s="1"/>
  <c r="L411" i="45" s="1"/>
  <c r="C282" i="41"/>
  <c r="C283" i="41"/>
  <c r="G283" i="41" s="1"/>
  <c r="L412" i="45" s="1"/>
  <c r="C284" i="41"/>
  <c r="G284" i="41" s="1"/>
  <c r="L390" i="45" s="1"/>
  <c r="C285" i="41"/>
  <c r="G285" i="41" s="1"/>
  <c r="L391" i="45" s="1"/>
  <c r="C286" i="41"/>
  <c r="G286" i="41" s="1"/>
  <c r="L392" i="45" s="1"/>
  <c r="C287" i="41"/>
  <c r="G287" i="41" s="1"/>
  <c r="L393" i="45" s="1"/>
  <c r="C288" i="41"/>
  <c r="G288" i="41" s="1"/>
  <c r="L394" i="45" s="1"/>
  <c r="C289" i="41"/>
  <c r="G289" i="41" s="1"/>
  <c r="L395" i="45" s="1"/>
  <c r="C290" i="41"/>
  <c r="G290" i="41" s="1"/>
  <c r="L396" i="45" s="1"/>
  <c r="C291" i="41"/>
  <c r="G291" i="41" s="1"/>
  <c r="L397" i="45" s="1"/>
  <c r="C292" i="41"/>
  <c r="G292" i="41" s="1"/>
  <c r="L398" i="45" s="1"/>
  <c r="C293" i="41"/>
  <c r="C294" i="41"/>
  <c r="G294" i="41" s="1"/>
  <c r="L399" i="45" s="1"/>
  <c r="C295" i="41"/>
  <c r="G295" i="41" s="1"/>
  <c r="L400" i="45" s="1"/>
  <c r="C296" i="41"/>
  <c r="G296" i="41" s="1"/>
  <c r="L401" i="45" s="1"/>
  <c r="C297" i="41"/>
  <c r="G297" i="41" s="1"/>
  <c r="L413" i="45" s="1"/>
  <c r="C298" i="41"/>
  <c r="G298" i="41" s="1"/>
  <c r="L414" i="45" s="1"/>
  <c r="C299" i="41"/>
  <c r="G299" i="41" s="1"/>
  <c r="L416" i="45" s="1"/>
  <c r="C300" i="41"/>
  <c r="G300" i="41" s="1"/>
  <c r="L417" i="45" s="1"/>
  <c r="C301" i="41"/>
  <c r="C302" i="41"/>
  <c r="C303" i="41"/>
  <c r="C304" i="41"/>
  <c r="G304" i="41" s="1"/>
  <c r="L419" i="45" s="1"/>
  <c r="C305" i="41"/>
  <c r="G305" i="41" s="1"/>
  <c r="L420" i="45" s="1"/>
  <c r="C306" i="41"/>
  <c r="G306" i="41" s="1"/>
  <c r="L421" i="45" s="1"/>
  <c r="C307" i="41"/>
  <c r="G307" i="41" s="1"/>
  <c r="L422" i="45" s="1"/>
  <c r="C308" i="41"/>
  <c r="G308" i="41" s="1"/>
  <c r="L423" i="45" s="1"/>
  <c r="C309" i="41"/>
  <c r="G309" i="41" s="1"/>
  <c r="L424" i="45" s="1"/>
  <c r="C310" i="41"/>
  <c r="G310" i="41" s="1"/>
  <c r="L425" i="45" s="1"/>
  <c r="C311" i="41"/>
  <c r="G311" i="41" s="1"/>
  <c r="L426" i="45" s="1"/>
  <c r="C312" i="41"/>
  <c r="G312" i="41" s="1"/>
  <c r="L427" i="45" s="1"/>
  <c r="C313" i="41"/>
  <c r="G313" i="41" s="1"/>
  <c r="L428" i="45" s="1"/>
  <c r="C314" i="41"/>
  <c r="G314" i="41" s="1"/>
  <c r="L429" i="45" s="1"/>
  <c r="C315" i="41"/>
  <c r="G315" i="41" s="1"/>
  <c r="L430" i="45" s="1"/>
  <c r="C316" i="41"/>
  <c r="G316" i="41" s="1"/>
  <c r="L431" i="45" s="1"/>
  <c r="C317" i="41"/>
  <c r="G317" i="41" s="1"/>
  <c r="L432" i="45" s="1"/>
  <c r="C318" i="41"/>
  <c r="G318" i="41" s="1"/>
  <c r="L433" i="45" s="1"/>
  <c r="C319" i="41"/>
  <c r="G319" i="41" s="1"/>
  <c r="L434" i="45" s="1"/>
  <c r="C320" i="41"/>
  <c r="G320" i="41" s="1"/>
  <c r="L436" i="45" s="1"/>
  <c r="C321" i="41"/>
  <c r="G321" i="41" s="1"/>
  <c r="L437" i="45" s="1"/>
  <c r="C322" i="41"/>
  <c r="G322" i="41" s="1"/>
  <c r="L438" i="45" s="1"/>
  <c r="C323" i="41"/>
  <c r="G323" i="41" s="1"/>
  <c r="L439" i="45" s="1"/>
  <c r="C324" i="41"/>
  <c r="G324" i="41" s="1"/>
  <c r="L440" i="45" s="1"/>
  <c r="C325" i="41"/>
  <c r="G325" i="41" s="1"/>
  <c r="L441" i="45" s="1"/>
  <c r="C326" i="41"/>
  <c r="G326" i="41" s="1"/>
  <c r="L442" i="45" s="1"/>
  <c r="C327" i="41"/>
  <c r="G327" i="41" s="1"/>
  <c r="L443" i="45" s="1"/>
  <c r="C328" i="41"/>
  <c r="G328" i="41" s="1"/>
  <c r="L444" i="45" s="1"/>
  <c r="C329" i="41"/>
  <c r="G329" i="41" s="1"/>
  <c r="L446" i="45" s="1"/>
  <c r="C330" i="41"/>
  <c r="G330" i="41" s="1"/>
  <c r="L447" i="45" s="1"/>
  <c r="C331" i="41"/>
  <c r="C332" i="41"/>
  <c r="C333" i="41"/>
  <c r="C334" i="41"/>
  <c r="C335" i="41"/>
  <c r="C336" i="41"/>
  <c r="C337" i="41"/>
  <c r="C338" i="41"/>
  <c r="C339" i="41"/>
  <c r="C340" i="41"/>
  <c r="C341" i="41"/>
  <c r="C342" i="41"/>
  <c r="C343" i="41"/>
  <c r="C344" i="41"/>
  <c r="C345" i="41"/>
  <c r="C346" i="41"/>
  <c r="C347" i="41"/>
  <c r="C348" i="41"/>
  <c r="C349" i="41"/>
  <c r="C350" i="41"/>
  <c r="C351" i="41"/>
  <c r="C352" i="41"/>
  <c r="C353" i="41"/>
  <c r="C354" i="41"/>
  <c r="C355" i="41"/>
  <c r="C356" i="41"/>
  <c r="C357" i="41"/>
  <c r="C358" i="41"/>
  <c r="C359" i="41"/>
  <c r="C360" i="41"/>
  <c r="C361" i="41"/>
  <c r="C362" i="41"/>
  <c r="C363" i="41"/>
  <c r="C364" i="41"/>
  <c r="C365" i="41"/>
  <c r="C366" i="41"/>
  <c r="C367" i="41"/>
  <c r="C368" i="41"/>
  <c r="C369" i="41"/>
  <c r="C370" i="41"/>
  <c r="C371" i="41"/>
  <c r="C372" i="41"/>
  <c r="C373" i="41"/>
  <c r="C374" i="41"/>
  <c r="C375" i="41"/>
  <c r="C376" i="41"/>
  <c r="C377" i="41"/>
  <c r="C378" i="41"/>
  <c r="C379" i="41"/>
  <c r="C380" i="41"/>
  <c r="C381" i="41"/>
  <c r="C382" i="41"/>
  <c r="C383" i="41"/>
  <c r="C384" i="41"/>
  <c r="C385" i="41"/>
  <c r="C386" i="41"/>
  <c r="C387" i="41"/>
  <c r="C388" i="41"/>
  <c r="C389" i="41"/>
  <c r="C390" i="41"/>
  <c r="C391" i="41"/>
  <c r="C392" i="41"/>
  <c r="C393" i="41"/>
  <c r="C394" i="41"/>
  <c r="C395" i="41"/>
  <c r="C396" i="41"/>
  <c r="C397" i="41"/>
  <c r="C398" i="41"/>
  <c r="C399" i="41"/>
  <c r="H15" i="39"/>
  <c r="E15" i="39"/>
  <c r="F3" i="49" l="1"/>
  <c r="F4" i="49"/>
  <c r="F5" i="49"/>
  <c r="F6" i="49"/>
  <c r="F7" i="49"/>
  <c r="F8" i="49"/>
  <c r="F9" i="49"/>
  <c r="F10" i="49"/>
  <c r="F11" i="49"/>
  <c r="F12" i="49"/>
  <c r="F13" i="49"/>
  <c r="F14" i="49"/>
  <c r="F15" i="49"/>
  <c r="F16" i="49"/>
  <c r="F17" i="49"/>
  <c r="F18" i="49"/>
  <c r="F19" i="49"/>
  <c r="F20" i="49"/>
  <c r="F21" i="49"/>
  <c r="F22" i="49"/>
  <c r="F23" i="49"/>
  <c r="F24" i="49"/>
  <c r="F25" i="49"/>
  <c r="F26" i="49"/>
  <c r="F27" i="49"/>
  <c r="F28" i="49"/>
  <c r="F29" i="49"/>
  <c r="F30" i="49"/>
  <c r="F31" i="49"/>
  <c r="F32" i="49"/>
  <c r="F33" i="49"/>
  <c r="F34" i="49"/>
  <c r="F35" i="49"/>
  <c r="F36" i="49"/>
  <c r="F37" i="49"/>
  <c r="F38" i="49"/>
  <c r="F39" i="49"/>
  <c r="F40" i="49"/>
  <c r="F41" i="49"/>
  <c r="F42" i="49"/>
  <c r="F43" i="49"/>
  <c r="F44" i="49"/>
  <c r="F45" i="49"/>
  <c r="F46" i="49"/>
  <c r="F47" i="49"/>
  <c r="F48" i="49"/>
  <c r="F49" i="49"/>
  <c r="F50" i="49"/>
  <c r="F51" i="49"/>
  <c r="F52" i="49"/>
  <c r="F53" i="49"/>
  <c r="F54" i="49"/>
  <c r="F55" i="49"/>
  <c r="F56" i="49"/>
  <c r="F57" i="49"/>
  <c r="F58" i="49"/>
  <c r="F59" i="49"/>
  <c r="F60" i="49"/>
  <c r="F61" i="49"/>
  <c r="F62" i="49"/>
  <c r="F63" i="49"/>
  <c r="F64" i="49"/>
  <c r="F65" i="49"/>
  <c r="F66" i="49"/>
  <c r="F67" i="49"/>
  <c r="F68" i="49"/>
  <c r="F69" i="49"/>
  <c r="F70" i="49"/>
  <c r="F71" i="49"/>
  <c r="F72" i="49"/>
  <c r="F73" i="49"/>
  <c r="F74" i="49"/>
  <c r="F75" i="49"/>
  <c r="F76" i="49"/>
  <c r="F77" i="49"/>
  <c r="F78" i="49"/>
  <c r="F79" i="49"/>
  <c r="F80" i="49"/>
  <c r="F81" i="49"/>
  <c r="F82" i="49"/>
  <c r="F83" i="49"/>
  <c r="F84" i="49"/>
  <c r="F85" i="49"/>
  <c r="F86" i="49"/>
  <c r="F87" i="49"/>
  <c r="F88" i="49"/>
  <c r="F89" i="49"/>
  <c r="F90" i="49"/>
  <c r="F91" i="49"/>
  <c r="F92" i="49"/>
  <c r="F93" i="49"/>
  <c r="F94" i="49"/>
  <c r="F95" i="49"/>
  <c r="F96" i="49"/>
  <c r="F97" i="49"/>
  <c r="F98" i="49"/>
  <c r="F99" i="49"/>
  <c r="F100" i="49"/>
  <c r="F101" i="49"/>
  <c r="F102" i="49"/>
  <c r="F103" i="49"/>
  <c r="F104" i="49"/>
  <c r="F105" i="49"/>
  <c r="F106" i="49"/>
  <c r="F107" i="49"/>
  <c r="F108" i="49"/>
  <c r="F109" i="49"/>
  <c r="F110" i="49"/>
  <c r="F111" i="49"/>
  <c r="F112" i="49"/>
  <c r="F113" i="49"/>
  <c r="F114" i="49"/>
  <c r="F115" i="49"/>
  <c r="F116" i="49"/>
  <c r="F117" i="49"/>
  <c r="F118" i="49"/>
  <c r="F119" i="49"/>
  <c r="F120" i="49"/>
  <c r="F121" i="49"/>
  <c r="F122" i="49"/>
  <c r="F123" i="49"/>
  <c r="F124" i="49"/>
  <c r="F125" i="49"/>
  <c r="F126" i="49"/>
  <c r="F127" i="49"/>
  <c r="F128" i="49"/>
  <c r="F129" i="49"/>
  <c r="F130" i="49"/>
  <c r="F131" i="49"/>
  <c r="F132" i="49"/>
  <c r="F133" i="49"/>
  <c r="F134" i="49"/>
  <c r="F135" i="49"/>
  <c r="F136" i="49"/>
  <c r="F137" i="49"/>
  <c r="F138" i="49"/>
  <c r="F139" i="49"/>
  <c r="F140" i="49"/>
  <c r="F141" i="49"/>
  <c r="F142" i="49"/>
  <c r="F143" i="49"/>
  <c r="F144" i="49"/>
  <c r="F145" i="49"/>
  <c r="F146" i="49"/>
  <c r="F147" i="49"/>
  <c r="F148" i="49"/>
  <c r="F149" i="49"/>
  <c r="F150" i="49"/>
  <c r="F151" i="49"/>
  <c r="F152" i="49"/>
  <c r="F153" i="49"/>
  <c r="F154" i="49"/>
  <c r="F155" i="49"/>
  <c r="F156" i="49"/>
  <c r="F157" i="49"/>
  <c r="F158" i="49"/>
  <c r="F159" i="49"/>
  <c r="F160" i="49"/>
  <c r="F161" i="49"/>
  <c r="F162" i="49"/>
  <c r="F163" i="49"/>
  <c r="F164" i="49"/>
  <c r="F165" i="49"/>
  <c r="F166" i="49"/>
  <c r="F167" i="49"/>
  <c r="F168" i="49"/>
  <c r="F169" i="49"/>
  <c r="F170" i="49"/>
  <c r="F171" i="49"/>
  <c r="F172" i="49"/>
  <c r="F173" i="49"/>
  <c r="F174" i="49"/>
  <c r="F175" i="49"/>
  <c r="F176" i="49"/>
  <c r="F177" i="49"/>
  <c r="F178" i="49"/>
  <c r="F179" i="49"/>
  <c r="F180" i="49"/>
  <c r="F181" i="49"/>
  <c r="F182" i="49"/>
  <c r="F183" i="49"/>
  <c r="F184" i="49"/>
  <c r="F185" i="49"/>
  <c r="F186" i="49"/>
  <c r="F187" i="49"/>
  <c r="F188" i="49"/>
  <c r="F189" i="49"/>
  <c r="F190" i="49"/>
  <c r="F191" i="49"/>
  <c r="F192" i="49"/>
  <c r="F193" i="49"/>
  <c r="F194" i="49"/>
  <c r="F195" i="49"/>
  <c r="F196" i="49"/>
  <c r="F197" i="49"/>
  <c r="F198" i="49"/>
  <c r="F199" i="49"/>
  <c r="F200" i="49"/>
  <c r="F201" i="49"/>
  <c r="F202" i="49"/>
  <c r="F203" i="49"/>
  <c r="F204" i="49"/>
  <c r="F205" i="49"/>
  <c r="F206" i="49"/>
  <c r="F207" i="49"/>
  <c r="F208" i="49"/>
  <c r="F209" i="49"/>
  <c r="F210" i="49"/>
  <c r="F211" i="49"/>
  <c r="F212" i="49"/>
  <c r="F213" i="49"/>
  <c r="F214" i="49"/>
  <c r="F215" i="49"/>
  <c r="F216" i="49"/>
  <c r="F217" i="49"/>
  <c r="F218" i="49"/>
  <c r="F219" i="49"/>
  <c r="F220" i="49"/>
  <c r="F221" i="49"/>
  <c r="F222" i="49"/>
  <c r="F223" i="49"/>
  <c r="F224" i="49"/>
  <c r="F225" i="49"/>
  <c r="F226" i="49"/>
  <c r="F227" i="49"/>
  <c r="F228" i="49"/>
  <c r="F229" i="49"/>
  <c r="F230" i="49"/>
  <c r="F231" i="49"/>
  <c r="F232" i="49"/>
  <c r="F233" i="49"/>
  <c r="F234" i="49"/>
  <c r="F235" i="49"/>
  <c r="F236" i="49"/>
  <c r="F237" i="49"/>
  <c r="F238" i="49"/>
  <c r="F239" i="49"/>
  <c r="F240" i="49"/>
  <c r="F241" i="49"/>
  <c r="F242" i="49"/>
  <c r="F243" i="49"/>
  <c r="F244" i="49"/>
  <c r="F245" i="49"/>
  <c r="F246" i="49"/>
  <c r="F247" i="49"/>
  <c r="F248" i="49"/>
  <c r="F249" i="49"/>
  <c r="F250" i="49"/>
  <c r="F251" i="49"/>
  <c r="F252" i="49"/>
  <c r="F253" i="49"/>
  <c r="F254" i="49"/>
  <c r="F255" i="49"/>
  <c r="F256" i="49"/>
  <c r="F257" i="49"/>
  <c r="F258" i="49"/>
  <c r="F259" i="49"/>
  <c r="F260" i="49"/>
  <c r="F261" i="49"/>
  <c r="F262" i="49"/>
  <c r="F263" i="49"/>
  <c r="F264" i="49"/>
  <c r="F265" i="49"/>
  <c r="F266" i="49"/>
  <c r="F267" i="49"/>
  <c r="F268" i="49"/>
  <c r="F269" i="49"/>
  <c r="F270" i="49"/>
  <c r="F271" i="49"/>
  <c r="F272" i="49"/>
  <c r="F273" i="49"/>
  <c r="F274" i="49"/>
  <c r="F275" i="49"/>
  <c r="F276" i="49"/>
  <c r="F277" i="49"/>
  <c r="F278" i="49"/>
  <c r="F279" i="49"/>
  <c r="F280" i="49"/>
  <c r="F281" i="49"/>
  <c r="F282" i="49"/>
  <c r="F283" i="49"/>
  <c r="F284" i="49"/>
  <c r="F285" i="49"/>
  <c r="F286" i="49"/>
  <c r="F287" i="49"/>
  <c r="F288" i="49"/>
  <c r="F289" i="49"/>
  <c r="F290" i="49"/>
  <c r="F291" i="49"/>
  <c r="F292" i="49"/>
  <c r="F293" i="49"/>
  <c r="F294" i="49"/>
  <c r="F295" i="49"/>
  <c r="F296" i="49"/>
  <c r="F297" i="49"/>
  <c r="F298" i="49"/>
  <c r="F299" i="49"/>
  <c r="F300" i="49"/>
  <c r="F301" i="49"/>
  <c r="F302" i="49"/>
  <c r="F303" i="49"/>
  <c r="F304" i="49"/>
  <c r="F305" i="49"/>
  <c r="F306" i="49"/>
  <c r="F307" i="49"/>
  <c r="F308" i="49"/>
  <c r="F309" i="49"/>
  <c r="F310" i="49"/>
  <c r="F311" i="49"/>
  <c r="F312" i="49"/>
  <c r="F313" i="49"/>
  <c r="F314" i="49"/>
  <c r="F315" i="49"/>
  <c r="F316" i="49"/>
  <c r="F317" i="49"/>
  <c r="F318" i="49"/>
  <c r="F319" i="49"/>
  <c r="F320" i="49"/>
  <c r="F321" i="49"/>
  <c r="F322" i="49"/>
  <c r="F323" i="49"/>
  <c r="F324" i="49"/>
  <c r="F325" i="49"/>
  <c r="F326" i="49"/>
  <c r="F327" i="49"/>
  <c r="F328" i="49"/>
  <c r="F329" i="49"/>
  <c r="F330" i="49"/>
  <c r="F331" i="49"/>
  <c r="F332" i="49"/>
  <c r="F333" i="49"/>
  <c r="F334" i="49"/>
  <c r="F335" i="49"/>
  <c r="F336" i="49"/>
  <c r="F337" i="49"/>
  <c r="F338" i="49"/>
  <c r="F339" i="49"/>
  <c r="F340" i="49"/>
  <c r="F341" i="49"/>
  <c r="F342" i="49"/>
  <c r="F343" i="49"/>
  <c r="F344" i="49"/>
  <c r="F345" i="49"/>
  <c r="F346" i="49"/>
  <c r="F347" i="49"/>
  <c r="F348" i="49"/>
  <c r="F349" i="49"/>
  <c r="F350" i="49"/>
  <c r="F351" i="49"/>
  <c r="F352" i="49"/>
  <c r="F353" i="49"/>
  <c r="F354" i="49"/>
  <c r="F355" i="49"/>
  <c r="F356" i="49"/>
  <c r="F357" i="49"/>
  <c r="F358" i="49"/>
  <c r="F359" i="49"/>
  <c r="F360" i="49"/>
  <c r="F361" i="49"/>
  <c r="F362" i="49"/>
  <c r="F363" i="49"/>
  <c r="F364" i="49"/>
  <c r="F365" i="49"/>
  <c r="F366" i="49"/>
  <c r="F367" i="49"/>
  <c r="F368" i="49"/>
  <c r="F369" i="49"/>
  <c r="F370" i="49"/>
  <c r="F371" i="49"/>
  <c r="F372" i="49"/>
  <c r="F373" i="49"/>
  <c r="F374" i="49"/>
  <c r="F375" i="49"/>
  <c r="F376" i="49"/>
  <c r="F377" i="49"/>
  <c r="F378" i="49"/>
  <c r="F379" i="49"/>
  <c r="F380" i="49"/>
  <c r="F381" i="49"/>
  <c r="F382" i="49"/>
  <c r="F383" i="49"/>
  <c r="F384" i="49"/>
  <c r="F385" i="49"/>
  <c r="F386" i="49"/>
  <c r="F387" i="49"/>
  <c r="F388" i="49"/>
  <c r="F389" i="49"/>
  <c r="F390" i="49"/>
  <c r="F391" i="49"/>
  <c r="F392" i="49"/>
  <c r="F393" i="49"/>
  <c r="F394" i="49"/>
  <c r="F395" i="49"/>
  <c r="F396" i="49"/>
  <c r="F397" i="49"/>
  <c r="F398" i="49"/>
  <c r="F399" i="49"/>
  <c r="F400" i="49"/>
  <c r="F401" i="49"/>
  <c r="F402" i="49"/>
  <c r="F403" i="49"/>
  <c r="F404" i="49"/>
  <c r="F405" i="49"/>
  <c r="F406" i="49"/>
  <c r="F407" i="49"/>
  <c r="F408" i="49"/>
  <c r="F409" i="49"/>
  <c r="F410" i="49"/>
  <c r="F411" i="49"/>
  <c r="F412" i="49"/>
  <c r="F413" i="49"/>
  <c r="F414" i="49"/>
  <c r="F415" i="49"/>
  <c r="F416" i="49"/>
  <c r="F417" i="49"/>
  <c r="F418" i="49"/>
  <c r="F419" i="49"/>
  <c r="F420" i="49"/>
  <c r="F421" i="49"/>
  <c r="F422" i="49"/>
  <c r="F423" i="49"/>
  <c r="F424" i="49"/>
  <c r="F425" i="49"/>
  <c r="F426" i="49"/>
  <c r="F427" i="49"/>
  <c r="F428" i="49"/>
  <c r="F429" i="49"/>
  <c r="F430" i="49"/>
  <c r="F431" i="49"/>
  <c r="F432" i="49"/>
  <c r="F433" i="49"/>
  <c r="F434" i="49"/>
  <c r="F435" i="49"/>
  <c r="F436" i="49"/>
  <c r="F437" i="49"/>
  <c r="F438" i="49"/>
  <c r="F439" i="49"/>
  <c r="F440" i="49"/>
  <c r="F441" i="49"/>
  <c r="F442" i="49"/>
  <c r="F443" i="49"/>
  <c r="F444" i="49"/>
  <c r="F445" i="49"/>
  <c r="F446" i="49"/>
  <c r="F447" i="49"/>
  <c r="F448" i="49"/>
  <c r="F449" i="49"/>
  <c r="F450" i="49"/>
  <c r="F451" i="49"/>
  <c r="F452" i="49"/>
  <c r="F453" i="49"/>
  <c r="F454" i="49"/>
  <c r="F455" i="49"/>
  <c r="F456" i="49"/>
  <c r="F457" i="49"/>
  <c r="F458" i="49"/>
  <c r="F459" i="49"/>
  <c r="F460" i="49"/>
  <c r="F461" i="49"/>
  <c r="F462" i="49"/>
  <c r="F463" i="49"/>
  <c r="F464" i="49"/>
  <c r="F465" i="49"/>
  <c r="F466" i="49"/>
  <c r="F467" i="49"/>
  <c r="F468" i="49"/>
  <c r="F469" i="49"/>
  <c r="F470" i="49"/>
  <c r="F471" i="49"/>
  <c r="F472" i="49"/>
  <c r="F473" i="49"/>
  <c r="F474" i="49"/>
  <c r="F475" i="49"/>
  <c r="F476" i="49"/>
  <c r="F477" i="49"/>
  <c r="F478" i="49"/>
  <c r="F479" i="49"/>
  <c r="F480" i="49"/>
  <c r="F481" i="49"/>
  <c r="F482" i="49"/>
  <c r="F483" i="49"/>
  <c r="F484" i="49"/>
  <c r="F485" i="49"/>
  <c r="F486" i="49"/>
  <c r="F487" i="49"/>
  <c r="F488" i="49"/>
  <c r="F489" i="49"/>
  <c r="F490" i="49"/>
  <c r="F491" i="49"/>
  <c r="F492" i="49"/>
  <c r="F493" i="49"/>
  <c r="F494" i="49"/>
  <c r="F495" i="49"/>
  <c r="F496" i="49"/>
  <c r="F497" i="49"/>
  <c r="F498" i="49"/>
  <c r="F499" i="49"/>
  <c r="F500" i="49"/>
  <c r="F501" i="49"/>
  <c r="F502" i="49"/>
  <c r="F503" i="49"/>
  <c r="F504" i="49"/>
  <c r="F505" i="49"/>
  <c r="F506" i="49"/>
  <c r="F507" i="49"/>
  <c r="F508" i="49"/>
  <c r="F509" i="49"/>
  <c r="F510" i="49"/>
  <c r="F511" i="49"/>
  <c r="F512" i="49"/>
  <c r="F513" i="49"/>
  <c r="F514" i="49"/>
  <c r="F515" i="49"/>
  <c r="F516" i="49"/>
  <c r="F517" i="49"/>
  <c r="F518" i="49"/>
  <c r="F519" i="49"/>
  <c r="F520" i="49"/>
  <c r="F521" i="49"/>
  <c r="F522" i="49"/>
  <c r="F523" i="49"/>
  <c r="F524" i="49"/>
  <c r="F525" i="49"/>
  <c r="F526" i="49"/>
  <c r="F527" i="49"/>
  <c r="F528" i="49"/>
  <c r="F529" i="49"/>
  <c r="F530" i="49"/>
  <c r="F531" i="49"/>
  <c r="F532" i="49"/>
  <c r="F533" i="49"/>
  <c r="F534" i="49"/>
  <c r="F535" i="49"/>
  <c r="F536" i="49"/>
  <c r="F537" i="49"/>
  <c r="F538" i="49"/>
  <c r="F539" i="49"/>
  <c r="F540" i="49"/>
  <c r="F541" i="49"/>
  <c r="F542" i="49"/>
  <c r="F543" i="49"/>
  <c r="F544" i="49"/>
  <c r="F545" i="49"/>
  <c r="F546" i="49"/>
  <c r="F547" i="49"/>
  <c r="F548" i="49"/>
  <c r="F549" i="49"/>
  <c r="F550" i="49"/>
  <c r="F551" i="49"/>
  <c r="F552" i="49"/>
  <c r="F553" i="49"/>
  <c r="F554" i="49"/>
  <c r="F555" i="49"/>
  <c r="F556" i="49"/>
  <c r="F557" i="49"/>
  <c r="F558" i="49"/>
  <c r="F559" i="49"/>
  <c r="F560" i="49"/>
  <c r="F561" i="49"/>
  <c r="F562" i="49"/>
  <c r="F563" i="49"/>
  <c r="F564" i="49"/>
  <c r="F565" i="49"/>
  <c r="F566" i="49"/>
  <c r="F567" i="49"/>
  <c r="F568" i="49"/>
  <c r="F569" i="49"/>
  <c r="F570" i="49"/>
  <c r="F571" i="49"/>
  <c r="F572" i="49"/>
  <c r="F573" i="49"/>
  <c r="F574" i="49"/>
  <c r="F575" i="49"/>
  <c r="F576" i="49"/>
  <c r="F577" i="49"/>
  <c r="F578" i="49"/>
  <c r="F579" i="49"/>
  <c r="F580" i="49"/>
  <c r="F581" i="49"/>
  <c r="F582" i="49"/>
  <c r="F583" i="49"/>
  <c r="F584" i="49"/>
  <c r="F585" i="49"/>
  <c r="F586" i="49"/>
  <c r="F587" i="49"/>
  <c r="F588" i="49"/>
  <c r="F589" i="49"/>
  <c r="F590" i="49"/>
  <c r="F591" i="49"/>
  <c r="F592" i="49"/>
  <c r="F593" i="49"/>
  <c r="F594" i="49"/>
  <c r="F595" i="49"/>
  <c r="F596" i="49"/>
  <c r="F597" i="49"/>
  <c r="F598" i="49"/>
  <c r="F599" i="49"/>
  <c r="F600" i="49"/>
  <c r="F601" i="49"/>
  <c r="F602" i="49"/>
  <c r="F603" i="49"/>
  <c r="F604" i="49"/>
  <c r="F605" i="49"/>
  <c r="F606" i="49"/>
  <c r="F607" i="49"/>
  <c r="F608" i="49"/>
  <c r="F609" i="49"/>
  <c r="F610" i="49"/>
  <c r="F611" i="49"/>
  <c r="F612" i="49"/>
  <c r="F613" i="49"/>
  <c r="F614" i="49"/>
  <c r="F615" i="49"/>
  <c r="F616" i="49"/>
  <c r="F617" i="49"/>
  <c r="F618" i="49"/>
  <c r="F619" i="49"/>
  <c r="F620" i="49"/>
  <c r="F621" i="49"/>
  <c r="F622" i="49"/>
  <c r="F623" i="49"/>
  <c r="F624" i="49"/>
  <c r="F625" i="49"/>
  <c r="F626" i="49"/>
  <c r="F627" i="49"/>
  <c r="F628" i="49"/>
  <c r="F629" i="49"/>
  <c r="F630" i="49"/>
  <c r="F631" i="49"/>
  <c r="F632" i="49"/>
  <c r="F633" i="49"/>
  <c r="F634" i="49"/>
  <c r="F635" i="49"/>
  <c r="F636" i="49"/>
  <c r="F637" i="49"/>
  <c r="F638" i="49"/>
  <c r="F639" i="49"/>
  <c r="F640" i="49"/>
  <c r="F641" i="49"/>
  <c r="F642" i="49"/>
  <c r="F643" i="49"/>
  <c r="F644" i="49"/>
  <c r="F645" i="49"/>
  <c r="F646" i="49"/>
  <c r="F647" i="49"/>
  <c r="F648" i="49"/>
  <c r="F649" i="49"/>
  <c r="F650" i="49"/>
  <c r="F651" i="49"/>
  <c r="F652" i="49"/>
  <c r="F653" i="49"/>
  <c r="F654" i="49"/>
  <c r="F655" i="49"/>
  <c r="F656" i="49"/>
  <c r="F657" i="49"/>
  <c r="F658" i="49"/>
  <c r="F659" i="49"/>
  <c r="F660" i="49"/>
  <c r="F661" i="49"/>
  <c r="F662" i="49"/>
  <c r="F663" i="49"/>
  <c r="F664" i="49"/>
  <c r="F665" i="49"/>
  <c r="F666" i="49"/>
  <c r="F667" i="49"/>
  <c r="F668" i="49"/>
  <c r="F669" i="49"/>
  <c r="F670" i="49"/>
  <c r="F671" i="49"/>
  <c r="F672" i="49"/>
  <c r="F673" i="49"/>
  <c r="F674" i="49"/>
  <c r="F675" i="49"/>
  <c r="F676" i="49"/>
  <c r="F677" i="49"/>
  <c r="F678" i="49"/>
  <c r="F679" i="49"/>
  <c r="F680" i="49"/>
  <c r="F681" i="49"/>
  <c r="F682" i="49"/>
  <c r="F683" i="49"/>
  <c r="F684" i="49"/>
  <c r="F685" i="49"/>
  <c r="F686" i="49"/>
  <c r="F687" i="49"/>
  <c r="F688" i="49"/>
  <c r="F689" i="49"/>
  <c r="F690" i="49"/>
  <c r="F691" i="49"/>
  <c r="F692" i="49"/>
  <c r="F693" i="49"/>
  <c r="F694" i="49"/>
  <c r="F695" i="49"/>
  <c r="F696" i="49"/>
  <c r="F697" i="49"/>
  <c r="F698" i="49"/>
  <c r="F699" i="49"/>
  <c r="F700" i="49"/>
  <c r="F701" i="49"/>
  <c r="F702" i="49"/>
  <c r="F703" i="49"/>
  <c r="F704" i="49"/>
  <c r="F705" i="49"/>
  <c r="F706" i="49"/>
  <c r="F707" i="49"/>
  <c r="F708" i="49"/>
  <c r="F709" i="49"/>
  <c r="F710" i="49"/>
  <c r="F711" i="49"/>
  <c r="F712" i="49"/>
  <c r="F713" i="49"/>
  <c r="F714" i="49"/>
  <c r="F715" i="49"/>
  <c r="F716" i="49"/>
  <c r="F717" i="49"/>
  <c r="F718" i="49"/>
  <c r="F719" i="49"/>
  <c r="F720" i="49"/>
  <c r="F721" i="49"/>
  <c r="F722" i="49"/>
  <c r="F723" i="49"/>
  <c r="F724" i="49"/>
  <c r="F725" i="49"/>
  <c r="F726" i="49"/>
  <c r="F727" i="49"/>
  <c r="F728" i="49"/>
  <c r="F729" i="49"/>
  <c r="F730" i="49"/>
  <c r="F731" i="49"/>
  <c r="F732" i="49"/>
  <c r="F733" i="49"/>
  <c r="F734" i="49"/>
  <c r="F735" i="49"/>
  <c r="F736" i="49"/>
  <c r="F737" i="49"/>
  <c r="F738" i="49"/>
  <c r="F739" i="49"/>
  <c r="F740" i="49"/>
  <c r="F741" i="49"/>
  <c r="F742" i="49"/>
  <c r="F743" i="49"/>
  <c r="F744" i="49"/>
  <c r="F745" i="49"/>
  <c r="F746" i="49"/>
  <c r="F747" i="49"/>
  <c r="F748" i="49"/>
  <c r="F749" i="49"/>
  <c r="F750" i="49"/>
  <c r="F751" i="49"/>
  <c r="F752" i="49"/>
  <c r="F753" i="49"/>
  <c r="F754" i="49"/>
  <c r="F755" i="49"/>
  <c r="F756" i="49"/>
  <c r="F757" i="49"/>
  <c r="F758" i="49"/>
  <c r="F759" i="49"/>
  <c r="F760" i="49"/>
  <c r="F761" i="49"/>
  <c r="F762" i="49"/>
  <c r="F763" i="49"/>
  <c r="F764" i="49"/>
  <c r="F765" i="49"/>
  <c r="F766" i="49"/>
  <c r="F767" i="49"/>
  <c r="F768" i="49"/>
  <c r="F769" i="49"/>
  <c r="F770" i="49"/>
  <c r="F771" i="49"/>
  <c r="F772" i="49"/>
  <c r="F773" i="49"/>
  <c r="F774" i="49"/>
  <c r="F775" i="49"/>
  <c r="F776" i="49"/>
  <c r="F777" i="49"/>
  <c r="F778" i="49"/>
  <c r="F779" i="49"/>
  <c r="F780" i="49"/>
  <c r="F781" i="49"/>
  <c r="F782" i="49"/>
  <c r="F783" i="49"/>
  <c r="F784" i="49"/>
  <c r="F785" i="49"/>
  <c r="F786" i="49"/>
  <c r="F787" i="49"/>
  <c r="F788" i="49"/>
  <c r="F789" i="49"/>
  <c r="F790" i="49"/>
  <c r="F791" i="49"/>
  <c r="F792" i="49"/>
  <c r="F793" i="49"/>
  <c r="F794" i="49"/>
  <c r="F795" i="49"/>
  <c r="F796" i="49"/>
  <c r="F797" i="49"/>
  <c r="F798" i="49"/>
  <c r="F799" i="49"/>
  <c r="F800" i="49"/>
  <c r="F801" i="49"/>
  <c r="F802" i="49"/>
  <c r="F803" i="49"/>
  <c r="F804" i="49"/>
  <c r="F805" i="49"/>
  <c r="F806" i="49"/>
  <c r="F807" i="49"/>
  <c r="F808" i="49"/>
  <c r="F809" i="49"/>
  <c r="F810" i="49"/>
  <c r="F811" i="49"/>
  <c r="F812" i="49"/>
  <c r="F813" i="49"/>
  <c r="F814" i="49"/>
  <c r="F815" i="49"/>
  <c r="F816" i="49"/>
  <c r="F817" i="49"/>
  <c r="F818" i="49"/>
  <c r="F819" i="49"/>
  <c r="F820" i="49"/>
  <c r="F821" i="49"/>
  <c r="F822" i="49"/>
  <c r="F823" i="49"/>
  <c r="F824" i="49"/>
  <c r="F825" i="49"/>
  <c r="F826" i="49"/>
  <c r="F827" i="49"/>
  <c r="F828" i="49"/>
  <c r="F829" i="49"/>
  <c r="F830" i="49"/>
  <c r="F831" i="49"/>
  <c r="F832" i="49"/>
  <c r="F833" i="49"/>
  <c r="F834" i="49"/>
  <c r="F835" i="49"/>
  <c r="F836" i="49"/>
  <c r="F837" i="49"/>
  <c r="F838" i="49"/>
  <c r="F839" i="49"/>
  <c r="F840" i="49"/>
  <c r="F841" i="49"/>
  <c r="F842" i="49"/>
  <c r="F843" i="49"/>
  <c r="F844" i="49"/>
  <c r="F845" i="49"/>
  <c r="F846" i="49"/>
  <c r="F2" i="49"/>
  <c r="O18" i="49" s="1"/>
  <c r="N10" i="49"/>
  <c r="M10" i="49"/>
  <c r="L10" i="49"/>
  <c r="K10" i="49"/>
  <c r="J10" i="49"/>
  <c r="N9" i="49"/>
  <c r="M9" i="49"/>
  <c r="L9" i="49"/>
  <c r="K9" i="49"/>
  <c r="J9" i="49"/>
  <c r="M11" i="50" l="1"/>
  <c r="O16" i="49"/>
  <c r="R123" i="49"/>
  <c r="O116" i="50" s="1"/>
  <c r="O122" i="49"/>
  <c r="U120" i="49"/>
  <c r="Q113" i="50" s="1"/>
  <c r="R119" i="49"/>
  <c r="O112" i="50" s="1"/>
  <c r="O118" i="49"/>
  <c r="U116" i="49"/>
  <c r="Q109" i="50" s="1"/>
  <c r="R115" i="49"/>
  <c r="O108" i="50" s="1"/>
  <c r="O114" i="49"/>
  <c r="U112" i="49"/>
  <c r="Q105" i="50" s="1"/>
  <c r="R111" i="49"/>
  <c r="O104" i="50" s="1"/>
  <c r="O110" i="49"/>
  <c r="U108" i="49"/>
  <c r="Q101" i="50" s="1"/>
  <c r="R107" i="49"/>
  <c r="O100" i="50" s="1"/>
  <c r="O106" i="49"/>
  <c r="U104" i="49"/>
  <c r="R103" i="49"/>
  <c r="O96" i="50" s="1"/>
  <c r="O102" i="49"/>
  <c r="U100" i="49"/>
  <c r="Q93" i="50" s="1"/>
  <c r="R99" i="49"/>
  <c r="O92" i="50" s="1"/>
  <c r="O98" i="49"/>
  <c r="U96" i="49"/>
  <c r="Q89" i="50" s="1"/>
  <c r="R95" i="49"/>
  <c r="O88" i="50" s="1"/>
  <c r="O94" i="49"/>
  <c r="U92" i="49"/>
  <c r="Q85" i="50" s="1"/>
  <c r="R91" i="49"/>
  <c r="O84" i="50" s="1"/>
  <c r="O90" i="49"/>
  <c r="U88" i="49"/>
  <c r="Q81" i="50" s="1"/>
  <c r="R87" i="49"/>
  <c r="O80" i="50" s="1"/>
  <c r="O86" i="49"/>
  <c r="U84" i="49"/>
  <c r="R83" i="49"/>
  <c r="O76" i="50" s="1"/>
  <c r="O82" i="49"/>
  <c r="U80" i="49"/>
  <c r="R79" i="49"/>
  <c r="O72" i="50" s="1"/>
  <c r="O78" i="49"/>
  <c r="U76" i="49"/>
  <c r="Q69" i="50" s="1"/>
  <c r="R75" i="49"/>
  <c r="O68" i="50" s="1"/>
  <c r="O74" i="49"/>
  <c r="U72" i="49"/>
  <c r="Q65" i="50" s="1"/>
  <c r="R71" i="49"/>
  <c r="O70" i="49"/>
  <c r="U68" i="49"/>
  <c r="R67" i="49"/>
  <c r="O60" i="50" s="1"/>
  <c r="O66" i="49"/>
  <c r="U64" i="49"/>
  <c r="Q57" i="50" s="1"/>
  <c r="R63" i="49"/>
  <c r="O56" i="50" s="1"/>
  <c r="O62" i="49"/>
  <c r="U60" i="49"/>
  <c r="Q53" i="50" s="1"/>
  <c r="R59" i="49"/>
  <c r="O52" i="50" s="1"/>
  <c r="O58" i="49"/>
  <c r="U56" i="49"/>
  <c r="Q49" i="50" s="1"/>
  <c r="R55" i="49"/>
  <c r="O48" i="50" s="1"/>
  <c r="O54" i="49"/>
  <c r="U52" i="49"/>
  <c r="Q45" i="50" s="1"/>
  <c r="R51" i="49"/>
  <c r="O44" i="50" s="1"/>
  <c r="O50" i="49"/>
  <c r="U48" i="49"/>
  <c r="R47" i="49"/>
  <c r="O40" i="50" s="1"/>
  <c r="O46" i="49"/>
  <c r="U44" i="49"/>
  <c r="Q37" i="50" s="1"/>
  <c r="R43" i="49"/>
  <c r="O36" i="50" s="1"/>
  <c r="O42" i="49"/>
  <c r="U40" i="49"/>
  <c r="Q33" i="50" s="1"/>
  <c r="O38" i="49"/>
  <c r="R35" i="49"/>
  <c r="O28" i="50" s="1"/>
  <c r="U32" i="49"/>
  <c r="Q25" i="50" s="1"/>
  <c r="O30" i="49"/>
  <c r="R27" i="49"/>
  <c r="O20" i="50" s="1"/>
  <c r="U24" i="49"/>
  <c r="Q17" i="50" s="1"/>
  <c r="O22" i="49"/>
  <c r="R19" i="49"/>
  <c r="O12" i="50" s="1"/>
  <c r="R16" i="49"/>
  <c r="O9" i="50" s="1"/>
  <c r="O123" i="49"/>
  <c r="U121" i="49"/>
  <c r="R120" i="49"/>
  <c r="O113" i="50" s="1"/>
  <c r="O119" i="49"/>
  <c r="U117" i="49"/>
  <c r="Q110" i="50" s="1"/>
  <c r="R116" i="49"/>
  <c r="O109" i="50" s="1"/>
  <c r="O115" i="49"/>
  <c r="U113" i="49"/>
  <c r="R112" i="49"/>
  <c r="O105" i="50" s="1"/>
  <c r="O111" i="49"/>
  <c r="U109" i="49"/>
  <c r="Q102" i="50" s="1"/>
  <c r="R108" i="49"/>
  <c r="O101" i="50" s="1"/>
  <c r="O107" i="49"/>
  <c r="U105" i="49"/>
  <c r="Q98" i="50" s="1"/>
  <c r="R104" i="49"/>
  <c r="O97" i="50" s="1"/>
  <c r="O103" i="49"/>
  <c r="U101" i="49"/>
  <c r="Q94" i="50" s="1"/>
  <c r="R100" i="49"/>
  <c r="O93" i="50" s="1"/>
  <c r="O99" i="49"/>
  <c r="U97" i="49"/>
  <c r="Q90" i="50" s="1"/>
  <c r="R96" i="49"/>
  <c r="O89" i="50" s="1"/>
  <c r="O95" i="49"/>
  <c r="U93" i="49"/>
  <c r="Q86" i="50" s="1"/>
  <c r="R92" i="49"/>
  <c r="O85" i="50" s="1"/>
  <c r="O91" i="49"/>
  <c r="U89" i="49"/>
  <c r="Q82" i="50" s="1"/>
  <c r="R88" i="49"/>
  <c r="O81" i="50" s="1"/>
  <c r="O87" i="49"/>
  <c r="U85" i="49"/>
  <c r="Q78" i="50" s="1"/>
  <c r="R84" i="49"/>
  <c r="O77" i="50" s="1"/>
  <c r="O83" i="49"/>
  <c r="U81" i="49"/>
  <c r="Q74" i="50" s="1"/>
  <c r="R80" i="49"/>
  <c r="O73" i="50" s="1"/>
  <c r="O79" i="49"/>
  <c r="U77" i="49"/>
  <c r="Q70" i="50" s="1"/>
  <c r="R76" i="49"/>
  <c r="O69" i="50" s="1"/>
  <c r="O75" i="49"/>
  <c r="U73" i="49"/>
  <c r="Q66" i="50" s="1"/>
  <c r="R72" i="49"/>
  <c r="O65" i="50" s="1"/>
  <c r="O71" i="49"/>
  <c r="U69" i="49"/>
  <c r="Q62" i="50" s="1"/>
  <c r="R68" i="49"/>
  <c r="O61" i="50" s="1"/>
  <c r="O67" i="49"/>
  <c r="U65" i="49"/>
  <c r="Q58" i="50" s="1"/>
  <c r="R64" i="49"/>
  <c r="O57" i="50" s="1"/>
  <c r="O63" i="49"/>
  <c r="U61" i="49"/>
  <c r="Q54" i="50" s="1"/>
  <c r="R60" i="49"/>
  <c r="O53" i="50" s="1"/>
  <c r="O59" i="49"/>
  <c r="U57" i="49"/>
  <c r="Q50" i="50" s="1"/>
  <c r="R56" i="49"/>
  <c r="O49" i="50" s="1"/>
  <c r="O55" i="49"/>
  <c r="U53" i="49"/>
  <c r="Q46" i="50" s="1"/>
  <c r="R52" i="49"/>
  <c r="O45" i="50" s="1"/>
  <c r="O51" i="49"/>
  <c r="U49" i="49"/>
  <c r="Q42" i="50" s="1"/>
  <c r="R48" i="49"/>
  <c r="O41" i="50" s="1"/>
  <c r="O47" i="49"/>
  <c r="U45" i="49"/>
  <c r="R44" i="49"/>
  <c r="O37" i="50" s="1"/>
  <c r="O43" i="49"/>
  <c r="U41" i="49"/>
  <c r="Q34" i="50" s="1"/>
  <c r="O40" i="49"/>
  <c r="R37" i="49"/>
  <c r="O30" i="50" s="1"/>
  <c r="U34" i="49"/>
  <c r="Q27" i="50" s="1"/>
  <c r="O32" i="49"/>
  <c r="R29" i="49"/>
  <c r="O22" i="50" s="1"/>
  <c r="U26" i="49"/>
  <c r="Q19" i="50" s="1"/>
  <c r="O24" i="49"/>
  <c r="R21" i="49"/>
  <c r="O14" i="50" s="1"/>
  <c r="U18" i="49"/>
  <c r="Q11" i="50" s="1"/>
  <c r="U16" i="49"/>
  <c r="Q9" i="50" s="1"/>
  <c r="U122" i="49"/>
  <c r="R121" i="49"/>
  <c r="O120" i="49"/>
  <c r="U118" i="49"/>
  <c r="Q111" i="50" s="1"/>
  <c r="R117" i="49"/>
  <c r="O110" i="50" s="1"/>
  <c r="O116" i="49"/>
  <c r="U114" i="49"/>
  <c r="R113" i="49"/>
  <c r="O112" i="49"/>
  <c r="U110" i="49"/>
  <c r="Q103" i="50" s="1"/>
  <c r="R109" i="49"/>
  <c r="O102" i="50" s="1"/>
  <c r="O108" i="49"/>
  <c r="U106" i="49"/>
  <c r="Q99" i="50" s="1"/>
  <c r="R105" i="49"/>
  <c r="O98" i="50" s="1"/>
  <c r="O104" i="49"/>
  <c r="U102" i="49"/>
  <c r="Q95" i="50" s="1"/>
  <c r="R101" i="49"/>
  <c r="O94" i="50" s="1"/>
  <c r="O100" i="49"/>
  <c r="U98" i="49"/>
  <c r="Q91" i="50" s="1"/>
  <c r="R97" i="49"/>
  <c r="O90" i="50" s="1"/>
  <c r="O96" i="49"/>
  <c r="U94" i="49"/>
  <c r="Q87" i="50" s="1"/>
  <c r="R93" i="49"/>
  <c r="O86" i="50" s="1"/>
  <c r="O92" i="49"/>
  <c r="U90" i="49"/>
  <c r="Q83" i="50" s="1"/>
  <c r="R89" i="49"/>
  <c r="O82" i="50" s="1"/>
  <c r="O88" i="49"/>
  <c r="U86" i="49"/>
  <c r="Q79" i="50" s="1"/>
  <c r="R85" i="49"/>
  <c r="O78" i="50" s="1"/>
  <c r="O84" i="49"/>
  <c r="U82" i="49"/>
  <c r="Q75" i="50" s="1"/>
  <c r="R81" i="49"/>
  <c r="O74" i="50" s="1"/>
  <c r="O80" i="49"/>
  <c r="U78" i="49"/>
  <c r="Q71" i="50" s="1"/>
  <c r="R77" i="49"/>
  <c r="O70" i="50" s="1"/>
  <c r="O76" i="49"/>
  <c r="U74" i="49"/>
  <c r="Q67" i="50" s="1"/>
  <c r="R73" i="49"/>
  <c r="O66" i="50" s="1"/>
  <c r="O72" i="49"/>
  <c r="U70" i="49"/>
  <c r="Q63" i="50" s="1"/>
  <c r="R69" i="49"/>
  <c r="O68" i="49"/>
  <c r="U66" i="49"/>
  <c r="R65" i="49"/>
  <c r="O58" i="50" s="1"/>
  <c r="O64" i="49"/>
  <c r="U62" i="49"/>
  <c r="Q55" i="50" s="1"/>
  <c r="R61" i="49"/>
  <c r="O54" i="50" s="1"/>
  <c r="O60" i="49"/>
  <c r="U58" i="49"/>
  <c r="R57" i="49"/>
  <c r="O50" i="50" s="1"/>
  <c r="O56" i="49"/>
  <c r="U54" i="49"/>
  <c r="Q47" i="50" s="1"/>
  <c r="R53" i="49"/>
  <c r="O46" i="50" s="1"/>
  <c r="O52" i="49"/>
  <c r="U50" i="49"/>
  <c r="R49" i="49"/>
  <c r="O42" i="50" s="1"/>
  <c r="O48" i="49"/>
  <c r="U46" i="49"/>
  <c r="Q39" i="50" s="1"/>
  <c r="R45" i="49"/>
  <c r="O38" i="50" s="1"/>
  <c r="O44" i="49"/>
  <c r="U42" i="49"/>
  <c r="Q35" i="50" s="1"/>
  <c r="R41" i="49"/>
  <c r="O34" i="50" s="1"/>
  <c r="R39" i="49"/>
  <c r="U36" i="49"/>
  <c r="Q29" i="50" s="1"/>
  <c r="O34" i="49"/>
  <c r="R31" i="49"/>
  <c r="O24" i="50" s="1"/>
  <c r="U28" i="49"/>
  <c r="Q21" i="50" s="1"/>
  <c r="O26" i="49"/>
  <c r="R23" i="49"/>
  <c r="O16" i="50" s="1"/>
  <c r="U20" i="49"/>
  <c r="Q13" i="50" s="1"/>
  <c r="U17" i="49"/>
  <c r="Q10" i="50" s="1"/>
  <c r="O19" i="49"/>
  <c r="R20" i="49"/>
  <c r="O13" i="50" s="1"/>
  <c r="U21" i="49"/>
  <c r="Q14" i="50" s="1"/>
  <c r="O23" i="49"/>
  <c r="R24" i="49"/>
  <c r="O17" i="50" s="1"/>
  <c r="U25" i="49"/>
  <c r="Q18" i="50" s="1"/>
  <c r="O27" i="49"/>
  <c r="R28" i="49"/>
  <c r="O21" i="50" s="1"/>
  <c r="U29" i="49"/>
  <c r="Q22" i="50" s="1"/>
  <c r="O31" i="49"/>
  <c r="R32" i="49"/>
  <c r="O25" i="50" s="1"/>
  <c r="U33" i="49"/>
  <c r="Q26" i="50" s="1"/>
  <c r="O35" i="49"/>
  <c r="R36" i="49"/>
  <c r="O29" i="50" s="1"/>
  <c r="U37" i="49"/>
  <c r="Q30" i="50" s="1"/>
  <c r="O39" i="49"/>
  <c r="R40" i="49"/>
  <c r="O33" i="50" s="1"/>
  <c r="O17" i="49"/>
  <c r="R18" i="49"/>
  <c r="O11" i="50" s="1"/>
  <c r="U19" i="49"/>
  <c r="O21" i="49"/>
  <c r="R22" i="49"/>
  <c r="O15" i="50" s="1"/>
  <c r="U23" i="49"/>
  <c r="Q16" i="50" s="1"/>
  <c r="O25" i="49"/>
  <c r="R26" i="49"/>
  <c r="O19" i="50" s="1"/>
  <c r="U27" i="49"/>
  <c r="Q20" i="50" s="1"/>
  <c r="O29" i="49"/>
  <c r="R30" i="49"/>
  <c r="O23" i="50" s="1"/>
  <c r="U31" i="49"/>
  <c r="Q24" i="50" s="1"/>
  <c r="O33" i="49"/>
  <c r="R34" i="49"/>
  <c r="O27" i="50" s="1"/>
  <c r="U35" i="49"/>
  <c r="Q28" i="50" s="1"/>
  <c r="O37" i="49"/>
  <c r="R38" i="49"/>
  <c r="U39" i="49"/>
  <c r="U123" i="49"/>
  <c r="Q116" i="50" s="1"/>
  <c r="R122" i="49"/>
  <c r="O115" i="50" s="1"/>
  <c r="O121" i="49"/>
  <c r="U119" i="49"/>
  <c r="Q112" i="50" s="1"/>
  <c r="R118" i="49"/>
  <c r="O111" i="50" s="1"/>
  <c r="O117" i="49"/>
  <c r="U115" i="49"/>
  <c r="Q108" i="50" s="1"/>
  <c r="R114" i="49"/>
  <c r="O113" i="49"/>
  <c r="U111" i="49"/>
  <c r="Q104" i="50" s="1"/>
  <c r="R110" i="49"/>
  <c r="O109" i="49"/>
  <c r="U107" i="49"/>
  <c r="Q100" i="50" s="1"/>
  <c r="R106" i="49"/>
  <c r="O99" i="50" s="1"/>
  <c r="O105" i="49"/>
  <c r="U103" i="49"/>
  <c r="R102" i="49"/>
  <c r="O95" i="50" s="1"/>
  <c r="O101" i="49"/>
  <c r="U99" i="49"/>
  <c r="Q92" i="50" s="1"/>
  <c r="R98" i="49"/>
  <c r="O91" i="50" s="1"/>
  <c r="O97" i="49"/>
  <c r="U95" i="49"/>
  <c r="Q88" i="50" s="1"/>
  <c r="R94" i="49"/>
  <c r="O87" i="50" s="1"/>
  <c r="O93" i="49"/>
  <c r="U91" i="49"/>
  <c r="Q84" i="50" s="1"/>
  <c r="R90" i="49"/>
  <c r="O83" i="50" s="1"/>
  <c r="O89" i="49"/>
  <c r="U87" i="49"/>
  <c r="Q80" i="50" s="1"/>
  <c r="R86" i="49"/>
  <c r="O79" i="50" s="1"/>
  <c r="O85" i="49"/>
  <c r="U83" i="49"/>
  <c r="Q76" i="50" s="1"/>
  <c r="R82" i="49"/>
  <c r="O75" i="50" s="1"/>
  <c r="O81" i="49"/>
  <c r="U79" i="49"/>
  <c r="Q72" i="50" s="1"/>
  <c r="R78" i="49"/>
  <c r="O71" i="50" s="1"/>
  <c r="O77" i="49"/>
  <c r="U75" i="49"/>
  <c r="Q68" i="50" s="1"/>
  <c r="R74" i="49"/>
  <c r="O67" i="50" s="1"/>
  <c r="O73" i="49"/>
  <c r="U71" i="49"/>
  <c r="R70" i="49"/>
  <c r="O63" i="50" s="1"/>
  <c r="O69" i="49"/>
  <c r="U67" i="49"/>
  <c r="Q60" i="50" s="1"/>
  <c r="R66" i="49"/>
  <c r="O59" i="50" s="1"/>
  <c r="O65" i="49"/>
  <c r="U63" i="49"/>
  <c r="Q56" i="50" s="1"/>
  <c r="R62" i="49"/>
  <c r="O55" i="50" s="1"/>
  <c r="O61" i="49"/>
  <c r="U59" i="49"/>
  <c r="Q52" i="50" s="1"/>
  <c r="R58" i="49"/>
  <c r="O51" i="50" s="1"/>
  <c r="O57" i="49"/>
  <c r="U55" i="49"/>
  <c r="Q48" i="50" s="1"/>
  <c r="R54" i="49"/>
  <c r="O47" i="50" s="1"/>
  <c r="O53" i="49"/>
  <c r="U51" i="49"/>
  <c r="R50" i="49"/>
  <c r="O43" i="50" s="1"/>
  <c r="O49" i="49"/>
  <c r="U47" i="49"/>
  <c r="Q40" i="50" s="1"/>
  <c r="R46" i="49"/>
  <c r="O39" i="50" s="1"/>
  <c r="O45" i="49"/>
  <c r="U43" i="49"/>
  <c r="Q36" i="50" s="1"/>
  <c r="R42" i="49"/>
  <c r="O35" i="50" s="1"/>
  <c r="O41" i="49"/>
  <c r="U38" i="49"/>
  <c r="Q31" i="50" s="1"/>
  <c r="O36" i="49"/>
  <c r="R33" i="49"/>
  <c r="O26" i="50" s="1"/>
  <c r="U30" i="49"/>
  <c r="Q23" i="50" s="1"/>
  <c r="O28" i="49"/>
  <c r="R25" i="49"/>
  <c r="O18" i="50" s="1"/>
  <c r="U22" i="49"/>
  <c r="O20" i="49"/>
  <c r="R17" i="49"/>
  <c r="O10" i="50" s="1"/>
  <c r="L20" i="49" l="1"/>
  <c r="K13" i="50" s="1"/>
  <c r="M13" i="50"/>
  <c r="M34" i="50"/>
  <c r="L41" i="49"/>
  <c r="K34" i="50" s="1"/>
  <c r="Q44" i="50"/>
  <c r="P44" i="50" s="1"/>
  <c r="T51" i="49"/>
  <c r="M50" i="50"/>
  <c r="L57" i="49"/>
  <c r="K50" i="50" s="1"/>
  <c r="M66" i="50"/>
  <c r="L73" i="49"/>
  <c r="K66" i="50" s="1"/>
  <c r="M82" i="50"/>
  <c r="L89" i="49"/>
  <c r="K82" i="50" s="1"/>
  <c r="M98" i="50"/>
  <c r="L98" i="50" s="1"/>
  <c r="N105" i="49"/>
  <c r="L105" i="49"/>
  <c r="K98" i="50" s="1"/>
  <c r="O103" i="50"/>
  <c r="N103" i="50" s="1"/>
  <c r="Q110" i="49"/>
  <c r="M114" i="50"/>
  <c r="L114" i="50" s="1"/>
  <c r="N121" i="49"/>
  <c r="L121" i="49"/>
  <c r="O31" i="50"/>
  <c r="N31" i="50" s="1"/>
  <c r="Q38" i="49"/>
  <c r="M26" i="50"/>
  <c r="L33" i="49"/>
  <c r="K26" i="50" s="1"/>
  <c r="M10" i="50"/>
  <c r="L17" i="49"/>
  <c r="K10" i="50" s="1"/>
  <c r="M24" i="50"/>
  <c r="L31" i="49"/>
  <c r="K24" i="50" s="1"/>
  <c r="N34" i="49"/>
  <c r="M27" i="50"/>
  <c r="L27" i="50" s="1"/>
  <c r="L34" i="49"/>
  <c r="K27" i="50" s="1"/>
  <c r="N48" i="49"/>
  <c r="L48" i="49"/>
  <c r="K41" i="50" s="1"/>
  <c r="M41" i="50"/>
  <c r="L41" i="50" s="1"/>
  <c r="Q51" i="50"/>
  <c r="P51" i="50" s="1"/>
  <c r="T58" i="49"/>
  <c r="M57" i="50"/>
  <c r="L64" i="49"/>
  <c r="K57" i="50" s="1"/>
  <c r="O62" i="50"/>
  <c r="N62" i="50" s="1"/>
  <c r="Q69" i="49"/>
  <c r="L80" i="49"/>
  <c r="K73" i="50" s="1"/>
  <c r="M73" i="50"/>
  <c r="L96" i="49"/>
  <c r="K89" i="50" s="1"/>
  <c r="M89" i="50"/>
  <c r="L112" i="49"/>
  <c r="K105" i="50" s="1"/>
  <c r="M105" i="50"/>
  <c r="Q115" i="50"/>
  <c r="P115" i="50" s="1"/>
  <c r="T122" i="49"/>
  <c r="L24" i="49"/>
  <c r="K17" i="50" s="1"/>
  <c r="M17" i="50"/>
  <c r="L17" i="50" s="1"/>
  <c r="N24" i="49"/>
  <c r="M36" i="50"/>
  <c r="L36" i="50" s="1"/>
  <c r="L43" i="49"/>
  <c r="K36" i="50" s="1"/>
  <c r="N43" i="49"/>
  <c r="L59" i="49"/>
  <c r="K52" i="50" s="1"/>
  <c r="M52" i="50"/>
  <c r="M68" i="50"/>
  <c r="L75" i="49"/>
  <c r="K68" i="50" s="1"/>
  <c r="M84" i="50"/>
  <c r="L91" i="49"/>
  <c r="K84" i="50" s="1"/>
  <c r="M100" i="50"/>
  <c r="L107" i="49"/>
  <c r="K100" i="50" s="1"/>
  <c r="M116" i="50"/>
  <c r="L116" i="50" s="1"/>
  <c r="N123" i="49"/>
  <c r="L123" i="49"/>
  <c r="K116" i="50" s="1"/>
  <c r="Q41" i="50"/>
  <c r="P41" i="50" s="1"/>
  <c r="T48" i="49"/>
  <c r="M47" i="50"/>
  <c r="L54" i="49"/>
  <c r="K47" i="50" s="1"/>
  <c r="N70" i="49"/>
  <c r="M63" i="50"/>
  <c r="L63" i="50" s="1"/>
  <c r="L70" i="49"/>
  <c r="K63" i="50" s="1"/>
  <c r="Q73" i="50"/>
  <c r="P73" i="50" s="1"/>
  <c r="T80" i="49"/>
  <c r="M79" i="50"/>
  <c r="L86" i="49"/>
  <c r="K79" i="50" s="1"/>
  <c r="M95" i="50"/>
  <c r="L102" i="49"/>
  <c r="K95" i="50" s="1"/>
  <c r="M111" i="50"/>
  <c r="L118" i="49"/>
  <c r="K111" i="50" s="1"/>
  <c r="M62" i="50"/>
  <c r="L62" i="50" s="1"/>
  <c r="N69" i="49"/>
  <c r="L69" i="49"/>
  <c r="K62" i="50" s="1"/>
  <c r="M78" i="50"/>
  <c r="L85" i="49"/>
  <c r="K78" i="50" s="1"/>
  <c r="M94" i="50"/>
  <c r="L94" i="50" s="1"/>
  <c r="L101" i="49"/>
  <c r="K94" i="50" s="1"/>
  <c r="N101" i="49"/>
  <c r="M110" i="50"/>
  <c r="L110" i="50" s="1"/>
  <c r="N117" i="49"/>
  <c r="L117" i="49"/>
  <c r="K110" i="50" s="1"/>
  <c r="M30" i="50"/>
  <c r="L37" i="49"/>
  <c r="K30" i="50" s="1"/>
  <c r="M14" i="50"/>
  <c r="L21" i="49"/>
  <c r="K14" i="50" s="1"/>
  <c r="M28" i="50"/>
  <c r="L35" i="49"/>
  <c r="K28" i="50" s="1"/>
  <c r="M12" i="50"/>
  <c r="L19" i="49"/>
  <c r="K12" i="50" s="1"/>
  <c r="M19" i="50"/>
  <c r="L26" i="49"/>
  <c r="K19" i="50" s="1"/>
  <c r="L44" i="49"/>
  <c r="K37" i="50" s="1"/>
  <c r="M37" i="50"/>
  <c r="M53" i="50"/>
  <c r="L60" i="49"/>
  <c r="K53" i="50" s="1"/>
  <c r="L76" i="49"/>
  <c r="K69" i="50" s="1"/>
  <c r="M69" i="50"/>
  <c r="L69" i="50" s="1"/>
  <c r="N76" i="49"/>
  <c r="L92" i="49"/>
  <c r="K85" i="50" s="1"/>
  <c r="M85" i="50"/>
  <c r="L108" i="49"/>
  <c r="K101" i="50" s="1"/>
  <c r="M101" i="50"/>
  <c r="O106" i="50"/>
  <c r="N106" i="50" s="1"/>
  <c r="Q113" i="49"/>
  <c r="L55" i="49"/>
  <c r="K48" i="50" s="1"/>
  <c r="M48" i="50"/>
  <c r="N71" i="49"/>
  <c r="L71" i="49"/>
  <c r="M64" i="50"/>
  <c r="L64" i="50" s="1"/>
  <c r="M80" i="50"/>
  <c r="L87" i="49"/>
  <c r="K80" i="50" s="1"/>
  <c r="M96" i="50"/>
  <c r="L103" i="49"/>
  <c r="K96" i="50" s="1"/>
  <c r="Q106" i="50"/>
  <c r="P106" i="50" s="1"/>
  <c r="T113" i="49"/>
  <c r="M112" i="50"/>
  <c r="L112" i="50" s="1"/>
  <c r="N119" i="49"/>
  <c r="L119" i="49"/>
  <c r="K112" i="50" s="1"/>
  <c r="M31" i="50"/>
  <c r="L31" i="50" s="1"/>
  <c r="N38" i="49"/>
  <c r="L38" i="49"/>
  <c r="K31" i="50" s="1"/>
  <c r="M43" i="50"/>
  <c r="L43" i="50" s="1"/>
  <c r="L50" i="49"/>
  <c r="K43" i="50" s="1"/>
  <c r="N50" i="49"/>
  <c r="M59" i="50"/>
  <c r="L59" i="50" s="1"/>
  <c r="L66" i="49"/>
  <c r="K59" i="50" s="1"/>
  <c r="N66" i="49"/>
  <c r="O64" i="50"/>
  <c r="N64" i="50" s="1"/>
  <c r="Q71" i="49"/>
  <c r="M75" i="50"/>
  <c r="L82" i="49"/>
  <c r="K75" i="50" s="1"/>
  <c r="M91" i="50"/>
  <c r="L91" i="50" s="1"/>
  <c r="N98" i="49"/>
  <c r="L98" i="49"/>
  <c r="K91" i="50" s="1"/>
  <c r="M107" i="50"/>
  <c r="L114" i="49"/>
  <c r="K107" i="50" s="1"/>
  <c r="M9" i="50"/>
  <c r="L16" i="49"/>
  <c r="K9" i="50" s="1"/>
  <c r="M42" i="50"/>
  <c r="L49" i="49"/>
  <c r="K42" i="50" s="1"/>
  <c r="M58" i="50"/>
  <c r="L65" i="49"/>
  <c r="K58" i="50" s="1"/>
  <c r="M74" i="50"/>
  <c r="L81" i="49"/>
  <c r="K74" i="50" s="1"/>
  <c r="M90" i="50"/>
  <c r="L97" i="49"/>
  <c r="K90" i="50" s="1"/>
  <c r="M106" i="50"/>
  <c r="L113" i="49"/>
  <c r="K106" i="50" s="1"/>
  <c r="Q12" i="50"/>
  <c r="P12" i="50" s="1"/>
  <c r="T19" i="49"/>
  <c r="M16" i="50"/>
  <c r="L23" i="49"/>
  <c r="K16" i="50" s="1"/>
  <c r="O32" i="50"/>
  <c r="N32" i="50" s="1"/>
  <c r="Q39" i="49"/>
  <c r="Q43" i="50"/>
  <c r="P43" i="50" s="1"/>
  <c r="T50" i="49"/>
  <c r="M49" i="50"/>
  <c r="L56" i="49"/>
  <c r="K49" i="50" s="1"/>
  <c r="Q59" i="50"/>
  <c r="P59" i="50" s="1"/>
  <c r="T66" i="49"/>
  <c r="M65" i="50"/>
  <c r="L72" i="49"/>
  <c r="K65" i="50" s="1"/>
  <c r="L88" i="49"/>
  <c r="K81" i="50" s="1"/>
  <c r="M81" i="50"/>
  <c r="L104" i="49"/>
  <c r="K97" i="50" s="1"/>
  <c r="M97" i="50"/>
  <c r="L97" i="50" s="1"/>
  <c r="N104" i="49"/>
  <c r="Q107" i="50"/>
  <c r="P107" i="50" s="1"/>
  <c r="T114" i="49"/>
  <c r="L120" i="49"/>
  <c r="K113" i="50" s="1"/>
  <c r="M113" i="50"/>
  <c r="L113" i="50" s="1"/>
  <c r="N120" i="49"/>
  <c r="L40" i="49"/>
  <c r="K33" i="50" s="1"/>
  <c r="M33" i="50"/>
  <c r="Q38" i="50"/>
  <c r="P38" i="50" s="1"/>
  <c r="T45" i="49"/>
  <c r="M44" i="50"/>
  <c r="L44" i="50" s="1"/>
  <c r="L51" i="49"/>
  <c r="K44" i="50" s="1"/>
  <c r="N51" i="49"/>
  <c r="L67" i="49"/>
  <c r="K60" i="50" s="1"/>
  <c r="M60" i="50"/>
  <c r="M76" i="50"/>
  <c r="L83" i="49"/>
  <c r="K76" i="50" s="1"/>
  <c r="M92" i="50"/>
  <c r="L92" i="50" s="1"/>
  <c r="N99" i="49"/>
  <c r="L99" i="49"/>
  <c r="K92" i="50" s="1"/>
  <c r="M108" i="50"/>
  <c r="L115" i="49"/>
  <c r="K108" i="50" s="1"/>
  <c r="M23" i="50"/>
  <c r="L30" i="49"/>
  <c r="K23" i="50" s="1"/>
  <c r="M39" i="50"/>
  <c r="L46" i="49"/>
  <c r="K39" i="50" s="1"/>
  <c r="N62" i="49"/>
  <c r="M55" i="50"/>
  <c r="L55" i="50" s="1"/>
  <c r="L62" i="49"/>
  <c r="K55" i="50" s="1"/>
  <c r="M71" i="50"/>
  <c r="L78" i="49"/>
  <c r="K71" i="50" s="1"/>
  <c r="M87" i="50"/>
  <c r="L94" i="49"/>
  <c r="K87" i="50" s="1"/>
  <c r="Q97" i="50"/>
  <c r="P97" i="50" s="1"/>
  <c r="T104" i="49"/>
  <c r="M103" i="50"/>
  <c r="L103" i="50" s="1"/>
  <c r="L110" i="49"/>
  <c r="K103" i="50" s="1"/>
  <c r="N110" i="49"/>
  <c r="L18" i="49"/>
  <c r="K11" i="50" s="1"/>
  <c r="Q15" i="50"/>
  <c r="P15" i="50" s="1"/>
  <c r="T22" i="49"/>
  <c r="M46" i="50"/>
  <c r="L53" i="49"/>
  <c r="K46" i="50" s="1"/>
  <c r="L36" i="49"/>
  <c r="K29" i="50" s="1"/>
  <c r="M29" i="50"/>
  <c r="M18" i="50"/>
  <c r="L25" i="49"/>
  <c r="K18" i="50" s="1"/>
  <c r="M32" i="50"/>
  <c r="L32" i="50" s="1"/>
  <c r="L39" i="49"/>
  <c r="N39" i="49"/>
  <c r="L28" i="49"/>
  <c r="K21" i="50" s="1"/>
  <c r="M21" i="50"/>
  <c r="M38" i="50"/>
  <c r="L45" i="49"/>
  <c r="K38" i="50" s="1"/>
  <c r="M54" i="50"/>
  <c r="L61" i="49"/>
  <c r="K54" i="50" s="1"/>
  <c r="Q64" i="50"/>
  <c r="P64" i="50" s="1"/>
  <c r="T71" i="49"/>
  <c r="M70" i="50"/>
  <c r="L77" i="49"/>
  <c r="K70" i="50" s="1"/>
  <c r="M86" i="50"/>
  <c r="L93" i="49"/>
  <c r="K86" i="50" s="1"/>
  <c r="Q96" i="50"/>
  <c r="P96" i="50" s="1"/>
  <c r="T103" i="49"/>
  <c r="M102" i="50"/>
  <c r="L102" i="50" s="1"/>
  <c r="N109" i="49"/>
  <c r="L109" i="49"/>
  <c r="K102" i="50" s="1"/>
  <c r="O107" i="50"/>
  <c r="N107" i="50" s="1"/>
  <c r="Q114" i="49"/>
  <c r="Q32" i="50"/>
  <c r="P32" i="50" s="1"/>
  <c r="T39" i="49"/>
  <c r="M22" i="50"/>
  <c r="L22" i="50" s="1"/>
  <c r="N29" i="49"/>
  <c r="L29" i="49"/>
  <c r="K22" i="50" s="1"/>
  <c r="M20" i="50"/>
  <c r="L27" i="49"/>
  <c r="K20" i="50" s="1"/>
  <c r="L52" i="49"/>
  <c r="K45" i="50" s="1"/>
  <c r="M45" i="50"/>
  <c r="M61" i="50"/>
  <c r="L68" i="49"/>
  <c r="K61" i="50" s="1"/>
  <c r="L84" i="49"/>
  <c r="K77" i="50" s="1"/>
  <c r="M77" i="50"/>
  <c r="L100" i="49"/>
  <c r="K93" i="50" s="1"/>
  <c r="M93" i="50"/>
  <c r="L116" i="49"/>
  <c r="K109" i="50" s="1"/>
  <c r="M109" i="50"/>
  <c r="L109" i="50" s="1"/>
  <c r="N116" i="49"/>
  <c r="O114" i="50"/>
  <c r="N114" i="50" s="1"/>
  <c r="Q121" i="49"/>
  <c r="L32" i="49"/>
  <c r="K25" i="50" s="1"/>
  <c r="M25" i="50"/>
  <c r="M40" i="50"/>
  <c r="L47" i="49"/>
  <c r="K40" i="50" s="1"/>
  <c r="N63" i="49"/>
  <c r="L63" i="49"/>
  <c r="K56" i="50" s="1"/>
  <c r="M56" i="50"/>
  <c r="L56" i="50" s="1"/>
  <c r="M72" i="50"/>
  <c r="L79" i="49"/>
  <c r="K72" i="50" s="1"/>
  <c r="M88" i="50"/>
  <c r="L95" i="49"/>
  <c r="K88" i="50" s="1"/>
  <c r="M104" i="50"/>
  <c r="L111" i="49"/>
  <c r="K104" i="50" s="1"/>
  <c r="Q114" i="50"/>
  <c r="P114" i="50" s="1"/>
  <c r="T121" i="49"/>
  <c r="M15" i="50"/>
  <c r="L22" i="49"/>
  <c r="K15" i="50" s="1"/>
  <c r="M35" i="50"/>
  <c r="L42" i="49"/>
  <c r="K35" i="50" s="1"/>
  <c r="M51" i="50"/>
  <c r="L58" i="49"/>
  <c r="K51" i="50" s="1"/>
  <c r="T68" i="49"/>
  <c r="Q61" i="50"/>
  <c r="P61" i="50" s="1"/>
  <c r="M67" i="50"/>
  <c r="L67" i="50" s="1"/>
  <c r="N74" i="49"/>
  <c r="L74" i="49"/>
  <c r="K67" i="50" s="1"/>
  <c r="Q77" i="50"/>
  <c r="P77" i="50" s="1"/>
  <c r="T84" i="49"/>
  <c r="M83" i="50"/>
  <c r="L90" i="49"/>
  <c r="K83" i="50" s="1"/>
  <c r="M99" i="50"/>
  <c r="L106" i="49"/>
  <c r="K99" i="50" s="1"/>
  <c r="N122" i="49"/>
  <c r="M115" i="50"/>
  <c r="L115" i="50" s="1"/>
  <c r="L122" i="49"/>
  <c r="K115" i="50" s="1"/>
  <c r="N2" i="49"/>
  <c r="M2" i="49"/>
  <c r="L2" i="49"/>
  <c r="K2" i="49"/>
  <c r="J2" i="49"/>
  <c r="K121" i="49" l="1"/>
  <c r="K114" i="50"/>
  <c r="J114" i="50" s="1"/>
  <c r="K71" i="49"/>
  <c r="K64" i="50"/>
  <c r="J64" i="50" s="1"/>
  <c r="K39" i="49"/>
  <c r="K32" i="50"/>
  <c r="J32" i="50" s="1"/>
  <c r="B3" i="41"/>
  <c r="F3" i="41" s="1"/>
  <c r="K80" i="45" s="1"/>
  <c r="B4" i="41"/>
  <c r="B5" i="41"/>
  <c r="B6" i="41"/>
  <c r="B7" i="41"/>
  <c r="B8" i="41"/>
  <c r="B9" i="41"/>
  <c r="B10" i="41"/>
  <c r="B11" i="41"/>
  <c r="B12" i="41"/>
  <c r="B13" i="41"/>
  <c r="F13" i="41" s="1"/>
  <c r="K89" i="45" s="1"/>
  <c r="B14" i="41"/>
  <c r="B15" i="41"/>
  <c r="B16" i="41"/>
  <c r="B17" i="41"/>
  <c r="B18" i="41"/>
  <c r="B19" i="41"/>
  <c r="B20" i="41"/>
  <c r="B21" i="41"/>
  <c r="B22" i="41"/>
  <c r="B23" i="41"/>
  <c r="B24" i="41"/>
  <c r="B25" i="41"/>
  <c r="B26" i="41"/>
  <c r="B27" i="41"/>
  <c r="B28" i="41"/>
  <c r="B29" i="41"/>
  <c r="B30" i="41"/>
  <c r="B31" i="41"/>
  <c r="B32" i="41"/>
  <c r="B33" i="41"/>
  <c r="B34" i="41"/>
  <c r="B35" i="41"/>
  <c r="B36" i="41"/>
  <c r="B37" i="41"/>
  <c r="B38" i="41"/>
  <c r="B39" i="41"/>
  <c r="B40" i="41"/>
  <c r="B41" i="41"/>
  <c r="B42" i="41"/>
  <c r="B43" i="41"/>
  <c r="B44" i="41"/>
  <c r="B45" i="41"/>
  <c r="B46" i="41"/>
  <c r="B47" i="41"/>
  <c r="B48" i="41"/>
  <c r="B49" i="41"/>
  <c r="B50" i="41"/>
  <c r="B51" i="41"/>
  <c r="B52" i="41"/>
  <c r="B53" i="41"/>
  <c r="B54" i="41"/>
  <c r="B55" i="41"/>
  <c r="B56" i="41"/>
  <c r="B57" i="41"/>
  <c r="B58" i="41"/>
  <c r="B59" i="41"/>
  <c r="B60" i="41"/>
  <c r="B61" i="41"/>
  <c r="B62" i="41"/>
  <c r="B63" i="41"/>
  <c r="B64" i="41"/>
  <c r="B65" i="41"/>
  <c r="B66" i="41"/>
  <c r="B67" i="41"/>
  <c r="B68" i="41"/>
  <c r="B69" i="41"/>
  <c r="B70" i="41"/>
  <c r="B71" i="41"/>
  <c r="B72" i="41"/>
  <c r="B73" i="41"/>
  <c r="B74" i="41"/>
  <c r="B75" i="41"/>
  <c r="B76" i="41"/>
  <c r="B77" i="41"/>
  <c r="B78" i="41"/>
  <c r="B79" i="41"/>
  <c r="B80" i="41"/>
  <c r="B81" i="41"/>
  <c r="B82" i="41"/>
  <c r="B83" i="41"/>
  <c r="B84" i="41"/>
  <c r="B85" i="41"/>
  <c r="B86" i="41"/>
  <c r="B87" i="41"/>
  <c r="B88" i="41"/>
  <c r="B89" i="41"/>
  <c r="B90" i="41"/>
  <c r="B91" i="41"/>
  <c r="B92" i="41"/>
  <c r="B93" i="41"/>
  <c r="B94" i="41"/>
  <c r="B95" i="41"/>
  <c r="B96" i="41"/>
  <c r="B97" i="41"/>
  <c r="B98" i="41"/>
  <c r="B99" i="41"/>
  <c r="B100" i="41"/>
  <c r="B101" i="41"/>
  <c r="B102" i="41"/>
  <c r="B103" i="41"/>
  <c r="B104" i="41"/>
  <c r="B105" i="41"/>
  <c r="B106" i="41"/>
  <c r="B107" i="41"/>
  <c r="B108" i="41"/>
  <c r="B109" i="41"/>
  <c r="B110" i="41"/>
  <c r="B111" i="41"/>
  <c r="B112" i="41"/>
  <c r="B113" i="41"/>
  <c r="B114" i="41"/>
  <c r="B115" i="41"/>
  <c r="B116" i="41"/>
  <c r="B117" i="41"/>
  <c r="B118" i="41"/>
  <c r="B119" i="41"/>
  <c r="B120" i="41"/>
  <c r="B121" i="41"/>
  <c r="B122" i="41"/>
  <c r="B123" i="41"/>
  <c r="B124" i="41"/>
  <c r="B125" i="41"/>
  <c r="B126" i="41"/>
  <c r="B127" i="41"/>
  <c r="B128" i="41"/>
  <c r="B129" i="41"/>
  <c r="B130" i="41"/>
  <c r="B131" i="41"/>
  <c r="B132" i="41"/>
  <c r="B133" i="41"/>
  <c r="B134" i="41"/>
  <c r="B135" i="41"/>
  <c r="B136" i="41"/>
  <c r="B137" i="41"/>
  <c r="B138" i="41"/>
  <c r="B139" i="41"/>
  <c r="B140" i="41"/>
  <c r="B141" i="41"/>
  <c r="B142" i="41"/>
  <c r="B143" i="41"/>
  <c r="B144" i="41"/>
  <c r="B145" i="41"/>
  <c r="B146" i="41"/>
  <c r="B147" i="41"/>
  <c r="B148" i="41"/>
  <c r="B149" i="41"/>
  <c r="B150" i="41"/>
  <c r="B151" i="41"/>
  <c r="B152" i="41"/>
  <c r="B153" i="41"/>
  <c r="B154" i="41"/>
  <c r="B155" i="41"/>
  <c r="B156" i="41"/>
  <c r="B157" i="41"/>
  <c r="B158" i="41"/>
  <c r="B159" i="41"/>
  <c r="B160" i="41"/>
  <c r="B161" i="41"/>
  <c r="B162" i="41"/>
  <c r="B163" i="41"/>
  <c r="B164" i="41"/>
  <c r="B165" i="41"/>
  <c r="B166" i="41"/>
  <c r="B167" i="41"/>
  <c r="B168" i="41"/>
  <c r="B169" i="41"/>
  <c r="B170" i="41"/>
  <c r="B171" i="41"/>
  <c r="B172" i="41"/>
  <c r="B173" i="41"/>
  <c r="B174" i="41"/>
  <c r="B175" i="41"/>
  <c r="B176" i="41"/>
  <c r="B177" i="41"/>
  <c r="B178" i="41"/>
  <c r="B179" i="41"/>
  <c r="B180" i="41"/>
  <c r="B181" i="41"/>
  <c r="B182" i="41"/>
  <c r="B183" i="41"/>
  <c r="B184" i="41"/>
  <c r="B185" i="41"/>
  <c r="B186" i="41"/>
  <c r="B187" i="41"/>
  <c r="B188" i="41"/>
  <c r="B189" i="41"/>
  <c r="B190" i="41"/>
  <c r="B191" i="41"/>
  <c r="B192" i="41"/>
  <c r="B193" i="41"/>
  <c r="B194" i="41"/>
  <c r="B195" i="41"/>
  <c r="B196" i="41"/>
  <c r="B197" i="41"/>
  <c r="B198" i="41"/>
  <c r="B199" i="41"/>
  <c r="B200" i="41"/>
  <c r="B201" i="41"/>
  <c r="B202" i="41"/>
  <c r="B203" i="41"/>
  <c r="B204" i="41"/>
  <c r="B205" i="41"/>
  <c r="B206" i="41"/>
  <c r="B207" i="41"/>
  <c r="B208" i="41"/>
  <c r="B209" i="41"/>
  <c r="B210" i="41"/>
  <c r="B211" i="41"/>
  <c r="B212" i="41"/>
  <c r="B213" i="41"/>
  <c r="B214" i="41"/>
  <c r="B215" i="41"/>
  <c r="B216" i="41"/>
  <c r="B217" i="41"/>
  <c r="B218" i="41"/>
  <c r="B219" i="41"/>
  <c r="B220" i="41"/>
  <c r="B221" i="41"/>
  <c r="B222" i="41"/>
  <c r="B223" i="41"/>
  <c r="B224" i="41"/>
  <c r="B225" i="41"/>
  <c r="B226" i="41"/>
  <c r="B227" i="41"/>
  <c r="B228" i="41"/>
  <c r="B229" i="41"/>
  <c r="B230" i="41"/>
  <c r="B231" i="41"/>
  <c r="B232" i="41"/>
  <c r="B233" i="41"/>
  <c r="B234" i="41"/>
  <c r="B235" i="41"/>
  <c r="B236" i="41"/>
  <c r="B237" i="41"/>
  <c r="B238" i="41"/>
  <c r="B239" i="41"/>
  <c r="B240" i="41"/>
  <c r="B241" i="41"/>
  <c r="B242" i="41"/>
  <c r="B243" i="41"/>
  <c r="B244" i="41"/>
  <c r="B245" i="41"/>
  <c r="B246" i="41"/>
  <c r="B247" i="41"/>
  <c r="B248" i="41"/>
  <c r="B249" i="41"/>
  <c r="B250" i="41"/>
  <c r="B251" i="41"/>
  <c r="B252" i="41"/>
  <c r="B253" i="41"/>
  <c r="B254" i="41"/>
  <c r="B255" i="41"/>
  <c r="B256" i="41"/>
  <c r="B257" i="41"/>
  <c r="B258" i="41"/>
  <c r="B259" i="41"/>
  <c r="B260" i="41"/>
  <c r="B261" i="41"/>
  <c r="B262" i="41"/>
  <c r="B263" i="41"/>
  <c r="B264" i="41"/>
  <c r="B265" i="41"/>
  <c r="B266" i="41"/>
  <c r="B267" i="41"/>
  <c r="B268" i="41"/>
  <c r="B269" i="41"/>
  <c r="B270" i="41"/>
  <c r="B271" i="41"/>
  <c r="B272" i="41"/>
  <c r="B273" i="41"/>
  <c r="B274" i="41"/>
  <c r="B275" i="41"/>
  <c r="B276" i="41"/>
  <c r="B277" i="41"/>
  <c r="B278" i="41"/>
  <c r="B279" i="41"/>
  <c r="B280" i="41"/>
  <c r="B281" i="41"/>
  <c r="B282" i="41"/>
  <c r="B283" i="41"/>
  <c r="B284" i="41"/>
  <c r="B285" i="41"/>
  <c r="B286" i="41"/>
  <c r="B287" i="41"/>
  <c r="B288" i="41"/>
  <c r="B289" i="41"/>
  <c r="B290" i="41"/>
  <c r="B291" i="41"/>
  <c r="B292" i="41"/>
  <c r="B293" i="41"/>
  <c r="B294" i="41"/>
  <c r="B295" i="41"/>
  <c r="B296" i="41"/>
  <c r="B297" i="41"/>
  <c r="B298" i="41"/>
  <c r="B299" i="41"/>
  <c r="B300" i="41"/>
  <c r="B301" i="41"/>
  <c r="B302" i="41"/>
  <c r="B303" i="41"/>
  <c r="B304" i="41"/>
  <c r="B305" i="41"/>
  <c r="B306" i="41"/>
  <c r="B307" i="41"/>
  <c r="B308" i="41"/>
  <c r="B309" i="41"/>
  <c r="B310" i="41"/>
  <c r="B311" i="41"/>
  <c r="B312" i="41"/>
  <c r="B313" i="41"/>
  <c r="B314" i="41"/>
  <c r="B315" i="41"/>
  <c r="B316" i="41"/>
  <c r="B317" i="41"/>
  <c r="B318" i="41"/>
  <c r="B319" i="41"/>
  <c r="B320" i="41"/>
  <c r="B321" i="41"/>
  <c r="B322" i="41"/>
  <c r="B323" i="41"/>
  <c r="B324" i="41"/>
  <c r="B325" i="41"/>
  <c r="B326" i="41"/>
  <c r="B327" i="41"/>
  <c r="B328" i="41"/>
  <c r="B329" i="41"/>
  <c r="B330" i="41"/>
  <c r="B331" i="41"/>
  <c r="B332" i="41"/>
  <c r="B333" i="41"/>
  <c r="E469" i="39" l="1"/>
  <c r="E468" i="39"/>
  <c r="E467" i="39"/>
  <c r="E466" i="39"/>
  <c r="E465" i="39"/>
  <c r="E464" i="39"/>
  <c r="E463" i="39"/>
  <c r="E462" i="39"/>
  <c r="E461" i="39"/>
  <c r="E460" i="39"/>
  <c r="E459" i="39"/>
  <c r="E14" i="39"/>
  <c r="E11" i="39"/>
  <c r="E10" i="39"/>
  <c r="H469" i="39"/>
  <c r="H468" i="39"/>
  <c r="H467" i="39"/>
  <c r="H466" i="39"/>
  <c r="H465" i="39"/>
  <c r="H464" i="39"/>
  <c r="H463" i="39"/>
  <c r="H462" i="39"/>
  <c r="H461" i="39"/>
  <c r="H460" i="39"/>
  <c r="H459" i="39"/>
  <c r="H14" i="39"/>
  <c r="H13" i="39"/>
  <c r="H11" i="39"/>
  <c r="H10" i="39"/>
  <c r="F64" i="41" l="1"/>
  <c r="K169" i="45" s="1"/>
  <c r="K12" i="45"/>
  <c r="K11" i="45"/>
  <c r="F4" i="41" l="1"/>
  <c r="K81" i="45" s="1"/>
  <c r="F5" i="41"/>
  <c r="K82" i="45" s="1"/>
  <c r="F8" i="41"/>
  <c r="K84" i="45" s="1"/>
  <c r="F12" i="41"/>
  <c r="K87" i="45" s="1"/>
  <c r="F10" i="41"/>
  <c r="K88" i="45" s="1"/>
  <c r="F14" i="41"/>
  <c r="K90" i="45" s="1"/>
  <c r="F15" i="41"/>
  <c r="K91" i="45" s="1"/>
  <c r="F17" i="41"/>
  <c r="K93" i="45" s="1"/>
  <c r="F18" i="41"/>
  <c r="K94" i="45" s="1"/>
  <c r="F19" i="41"/>
  <c r="K104" i="45" s="1"/>
  <c r="F20" i="41"/>
  <c r="K105" i="45" s="1"/>
  <c r="F21" i="41"/>
  <c r="K107" i="45" s="1"/>
  <c r="F22" i="41"/>
  <c r="K108" i="45" s="1"/>
  <c r="F26" i="41"/>
  <c r="K110" i="45" s="1"/>
  <c r="F27" i="41"/>
  <c r="K111" i="45" s="1"/>
  <c r="F28" i="41"/>
  <c r="K112" i="45" s="1"/>
  <c r="F29" i="41"/>
  <c r="K113" i="45" s="1"/>
  <c r="F30" i="41"/>
  <c r="K114" i="45" s="1"/>
  <c r="F35" i="41"/>
  <c r="K116" i="45" s="1"/>
  <c r="F36" i="41"/>
  <c r="K117" i="45" s="1"/>
  <c r="F37" i="41"/>
  <c r="K118" i="45" s="1"/>
  <c r="F38" i="41"/>
  <c r="K120" i="45" s="1"/>
  <c r="F39" i="41"/>
  <c r="K121" i="45" s="1"/>
  <c r="F40" i="41"/>
  <c r="K126" i="45" s="1"/>
  <c r="F41" i="41"/>
  <c r="K142" i="45" s="1"/>
  <c r="F42" i="41"/>
  <c r="K143" i="45" s="1"/>
  <c r="F43" i="41"/>
  <c r="K147" i="45" s="1"/>
  <c r="F44" i="41"/>
  <c r="K149" i="45" s="1"/>
  <c r="F45" i="41"/>
  <c r="K150" i="45" s="1"/>
  <c r="F50" i="41"/>
  <c r="K151" i="45" s="1"/>
  <c r="F51" i="41"/>
  <c r="K152" i="45" s="1"/>
  <c r="F48" i="41"/>
  <c r="K153" i="45" s="1"/>
  <c r="F47" i="41"/>
  <c r="K154" i="45" s="1"/>
  <c r="F53" i="41"/>
  <c r="K157" i="45" s="1"/>
  <c r="F54" i="41"/>
  <c r="K158" i="45" s="1"/>
  <c r="F55" i="41"/>
  <c r="K159" i="45" s="1"/>
  <c r="F56" i="41"/>
  <c r="K161" i="45" s="1"/>
  <c r="F57" i="41"/>
  <c r="K162" i="45" s="1"/>
  <c r="F61" i="41"/>
  <c r="K164" i="45" s="1"/>
  <c r="F62" i="41"/>
  <c r="K166" i="45" s="1"/>
  <c r="F63" i="41"/>
  <c r="K167" i="45" s="1"/>
  <c r="F65" i="41"/>
  <c r="K170" i="45" s="1"/>
  <c r="F66" i="41"/>
  <c r="K171" i="45" s="1"/>
  <c r="F67" i="41"/>
  <c r="K173" i="45" s="1"/>
  <c r="F68" i="41"/>
  <c r="K175" i="45" s="1"/>
  <c r="F69" i="41"/>
  <c r="K176" i="45" s="1"/>
  <c r="F70" i="41"/>
  <c r="K178" i="45" s="1"/>
  <c r="F71" i="41"/>
  <c r="K179" i="45" s="1"/>
  <c r="F72" i="41"/>
  <c r="K180" i="45" s="1"/>
  <c r="F73" i="41"/>
  <c r="K182" i="45" s="1"/>
  <c r="F74" i="41"/>
  <c r="K183" i="45" s="1"/>
  <c r="F75" i="41"/>
  <c r="K184" i="45" s="1"/>
  <c r="F76" i="41"/>
  <c r="K186" i="45" s="1"/>
  <c r="F77" i="41"/>
  <c r="K187" i="45" s="1"/>
  <c r="F79" i="41"/>
  <c r="K188" i="45" s="1"/>
  <c r="F80" i="41"/>
  <c r="K189" i="45" s="1"/>
  <c r="F81" i="41"/>
  <c r="K190" i="45" s="1"/>
  <c r="F82" i="41"/>
  <c r="K191" i="45" s="1"/>
  <c r="F83" i="41"/>
  <c r="K192" i="45" s="1"/>
  <c r="F84" i="41"/>
  <c r="K193" i="45" s="1"/>
  <c r="F85" i="41"/>
  <c r="K194" i="45" s="1"/>
  <c r="F86" i="41"/>
  <c r="K195" i="45" s="1"/>
  <c r="F87" i="41"/>
  <c r="K197" i="45" s="1"/>
  <c r="F88" i="41"/>
  <c r="K198" i="45" s="1"/>
  <c r="F92" i="41"/>
  <c r="K200" i="45" s="1"/>
  <c r="F93" i="41"/>
  <c r="K201" i="45" s="1"/>
  <c r="F94" i="41"/>
  <c r="K202" i="45" s="1"/>
  <c r="F95" i="41"/>
  <c r="K203" i="45" s="1"/>
  <c r="F96" i="41"/>
  <c r="K204" i="45" s="1"/>
  <c r="F97" i="41"/>
  <c r="K205" i="45" s="1"/>
  <c r="F98" i="41"/>
  <c r="K206" i="45" s="1"/>
  <c r="F99" i="41"/>
  <c r="K207" i="45" s="1"/>
  <c r="F100" i="41"/>
  <c r="K208" i="45" s="1"/>
  <c r="F101" i="41"/>
  <c r="K209" i="45" s="1"/>
  <c r="F102" i="41"/>
  <c r="K210" i="45" s="1"/>
  <c r="F103" i="41"/>
  <c r="K211" i="45" s="1"/>
  <c r="F104" i="41"/>
  <c r="K212" i="45" s="1"/>
  <c r="F105" i="41"/>
  <c r="K213" i="45" s="1"/>
  <c r="F106" i="41"/>
  <c r="K214" i="45" s="1"/>
  <c r="F107" i="41"/>
  <c r="K215" i="45" s="1"/>
  <c r="F108" i="41"/>
  <c r="K216" i="45" s="1"/>
  <c r="F109" i="41"/>
  <c r="K217" i="45" s="1"/>
  <c r="F110" i="41"/>
  <c r="K218" i="45" s="1"/>
  <c r="F111" i="41"/>
  <c r="K219" i="45" s="1"/>
  <c r="F112" i="41"/>
  <c r="K220" i="45" s="1"/>
  <c r="F113" i="41"/>
  <c r="K221" i="45" s="1"/>
  <c r="F114" i="41"/>
  <c r="K222" i="45" s="1"/>
  <c r="F115" i="41"/>
  <c r="K223" i="45" s="1"/>
  <c r="F116" i="41"/>
  <c r="K224" i="45" s="1"/>
  <c r="F117" i="41"/>
  <c r="K225" i="45" s="1"/>
  <c r="F118" i="41"/>
  <c r="K226" i="45" s="1"/>
  <c r="F147" i="41"/>
  <c r="K227" i="45" s="1"/>
  <c r="F148" i="41"/>
  <c r="K228" i="45" s="1"/>
  <c r="F149" i="41"/>
  <c r="K229" i="45" s="1"/>
  <c r="F150" i="41"/>
  <c r="K230" i="45" s="1"/>
  <c r="F151" i="41"/>
  <c r="K231" i="45" s="1"/>
  <c r="F152" i="41"/>
  <c r="K232" i="45" s="1"/>
  <c r="F153" i="41"/>
  <c r="K233" i="45" s="1"/>
  <c r="F154" i="41"/>
  <c r="K234" i="45" s="1"/>
  <c r="F155" i="41"/>
  <c r="K235" i="45" s="1"/>
  <c r="F156" i="41"/>
  <c r="K236" i="45" s="1"/>
  <c r="F157" i="41"/>
  <c r="K237" i="45" s="1"/>
  <c r="F158" i="41"/>
  <c r="K238" i="45" s="1"/>
  <c r="F159" i="41"/>
  <c r="K239" i="45" s="1"/>
  <c r="F160" i="41"/>
  <c r="K240" i="45" s="1"/>
  <c r="F161" i="41"/>
  <c r="K241" i="45" s="1"/>
  <c r="F162" i="41"/>
  <c r="K242" i="45" s="1"/>
  <c r="F163" i="41"/>
  <c r="K243" i="45" s="1"/>
  <c r="F164" i="41"/>
  <c r="K244" i="45" s="1"/>
  <c r="F165" i="41"/>
  <c r="K245" i="45" s="1"/>
  <c r="F166" i="41"/>
  <c r="K246" i="45" s="1"/>
  <c r="F180" i="41"/>
  <c r="K247" i="45" s="1"/>
  <c r="F181" i="41"/>
  <c r="K248" i="45" s="1"/>
  <c r="F182" i="41"/>
  <c r="K250" i="45" s="1"/>
  <c r="F183" i="41"/>
  <c r="K251" i="45" s="1"/>
  <c r="F187" i="41"/>
  <c r="K253" i="45" s="1"/>
  <c r="F188" i="41"/>
  <c r="K254" i="45" s="1"/>
  <c r="F189" i="41"/>
  <c r="K255" i="45" s="1"/>
  <c r="F190" i="41"/>
  <c r="K256" i="45" s="1"/>
  <c r="F191" i="41"/>
  <c r="K257" i="45" s="1"/>
  <c r="F192" i="41"/>
  <c r="K258" i="45" s="1"/>
  <c r="F193" i="41"/>
  <c r="K259" i="45" s="1"/>
  <c r="F194" i="41"/>
  <c r="K260" i="45" s="1"/>
  <c r="F195" i="41"/>
  <c r="K261" i="45" s="1"/>
  <c r="F197" i="41"/>
  <c r="K262" i="45" s="1"/>
  <c r="F196" i="41"/>
  <c r="K263" i="45" s="1"/>
  <c r="F198" i="41"/>
  <c r="K264" i="45" s="1"/>
  <c r="F199" i="41"/>
  <c r="K265" i="45" s="1"/>
  <c r="F200" i="41"/>
  <c r="K266" i="45" s="1"/>
  <c r="F201" i="41"/>
  <c r="K267" i="45" s="1"/>
  <c r="F202" i="41"/>
  <c r="K268" i="45" s="1"/>
  <c r="F203" i="41"/>
  <c r="K269" i="45" s="1"/>
  <c r="F204" i="41"/>
  <c r="K270" i="45" s="1"/>
  <c r="F205" i="41"/>
  <c r="K271" i="45" s="1"/>
  <c r="F206" i="41"/>
  <c r="K272" i="45" s="1"/>
  <c r="F207" i="41"/>
  <c r="K273" i="45" s="1"/>
  <c r="F208" i="41"/>
  <c r="K274" i="45" s="1"/>
  <c r="F209" i="41"/>
  <c r="K275" i="45" s="1"/>
  <c r="F210" i="41"/>
  <c r="K276" i="45" s="1"/>
  <c r="F211" i="41"/>
  <c r="K277" i="45" s="1"/>
  <c r="F212" i="41"/>
  <c r="K278" i="45" s="1"/>
  <c r="F167" i="41"/>
  <c r="K279" i="45" s="1"/>
  <c r="F168" i="41"/>
  <c r="K280" i="45" s="1"/>
  <c r="F169" i="41"/>
  <c r="K282" i="45" s="1"/>
  <c r="F170" i="41"/>
  <c r="K283" i="45" s="1"/>
  <c r="F171" i="41"/>
  <c r="K284" i="45" s="1"/>
  <c r="F172" i="41"/>
  <c r="K285" i="45" s="1"/>
  <c r="F173" i="41"/>
  <c r="K289" i="45" s="1"/>
  <c r="F174" i="41"/>
  <c r="K290" i="45" s="1"/>
  <c r="F176" i="41"/>
  <c r="K291" i="45" s="1"/>
  <c r="F177" i="41"/>
  <c r="K293" i="45" s="1"/>
  <c r="F178" i="41"/>
  <c r="K294" i="45" s="1"/>
  <c r="F179" i="41"/>
  <c r="K295" i="45" s="1"/>
  <c r="F213" i="41"/>
  <c r="K296" i="45" s="1"/>
  <c r="F214" i="41"/>
  <c r="K297" i="45" s="1"/>
  <c r="F215" i="41"/>
  <c r="K299" i="45" s="1"/>
  <c r="F216" i="41"/>
  <c r="K300" i="45" s="1"/>
  <c r="F220" i="41"/>
  <c r="K308" i="45" s="1"/>
  <c r="F236" i="41"/>
  <c r="K333" i="45" s="1"/>
  <c r="F237" i="41"/>
  <c r="K334" i="45" s="1"/>
  <c r="F238" i="41"/>
  <c r="K336" i="45" s="1"/>
  <c r="F239" i="41"/>
  <c r="K337" i="45" s="1"/>
  <c r="F243" i="41"/>
  <c r="K339" i="45" s="1"/>
  <c r="F245" i="41"/>
  <c r="K342" i="45" s="1"/>
  <c r="F246" i="41"/>
  <c r="K343" i="45" s="1"/>
  <c r="F247" i="41"/>
  <c r="K344" i="45" s="1"/>
  <c r="F248" i="41"/>
  <c r="K345" i="45" s="1"/>
  <c r="F249" i="41"/>
  <c r="K346" i="45" s="1"/>
  <c r="F250" i="41"/>
  <c r="K347" i="45" s="1"/>
  <c r="F251" i="41"/>
  <c r="K348" i="45" s="1"/>
  <c r="F252" i="41"/>
  <c r="K349" i="45" s="1"/>
  <c r="F253" i="41"/>
  <c r="K350" i="45" s="1"/>
  <c r="F254" i="41"/>
  <c r="K351" i="45" s="1"/>
  <c r="F255" i="41"/>
  <c r="K352" i="45" s="1"/>
  <c r="F256" i="41"/>
  <c r="K353" i="45" s="1"/>
  <c r="F257" i="41"/>
  <c r="K354" i="45" s="1"/>
  <c r="F258" i="41"/>
  <c r="K355" i="45" s="1"/>
  <c r="F259" i="41"/>
  <c r="K356" i="45" s="1"/>
  <c r="F260" i="41"/>
  <c r="K357" i="45" s="1"/>
  <c r="F261" i="41"/>
  <c r="K358" i="45" s="1"/>
  <c r="F262" i="41"/>
  <c r="K359" i="45" s="1"/>
  <c r="F263" i="41"/>
  <c r="K360" i="45" s="1"/>
  <c r="F264" i="41"/>
  <c r="K361" i="45" s="1"/>
  <c r="F265" i="41"/>
  <c r="K362" i="45" s="1"/>
  <c r="F266" i="41"/>
  <c r="K363" i="45" s="1"/>
  <c r="F267" i="41"/>
  <c r="K365" i="45" s="1"/>
  <c r="F268" i="41"/>
  <c r="K366" i="45" s="1"/>
  <c r="F119" i="41"/>
  <c r="K368" i="45" s="1"/>
  <c r="F127" i="41"/>
  <c r="K373" i="45" s="1"/>
  <c r="F135" i="41"/>
  <c r="K377" i="45" s="1"/>
  <c r="F131" i="41"/>
  <c r="K378" i="45" s="1"/>
  <c r="F134" i="41"/>
  <c r="K379" i="45" s="1"/>
  <c r="F136" i="41"/>
  <c r="K381" i="45" s="1"/>
  <c r="F137" i="41"/>
  <c r="K382" i="45" s="1"/>
  <c r="F139" i="41"/>
  <c r="K383" i="45" s="1"/>
  <c r="F140" i="41"/>
  <c r="K384" i="45" s="1"/>
  <c r="F141" i="41"/>
  <c r="K385" i="45" s="1"/>
  <c r="F142" i="41"/>
  <c r="K387" i="45" s="1"/>
  <c r="F143" i="41"/>
  <c r="K388" i="45" s="1"/>
  <c r="F284" i="41"/>
  <c r="K390" i="45" s="1"/>
  <c r="F285" i="41"/>
  <c r="K391" i="45" s="1"/>
  <c r="F286" i="41"/>
  <c r="K392" i="45" s="1"/>
  <c r="F287" i="41"/>
  <c r="K393" i="45" s="1"/>
  <c r="F288" i="41"/>
  <c r="K394" i="45" s="1"/>
  <c r="F289" i="41"/>
  <c r="K395" i="45" s="1"/>
  <c r="F290" i="41"/>
  <c r="K396" i="45" s="1"/>
  <c r="F291" i="41"/>
  <c r="K397" i="45" s="1"/>
  <c r="F292" i="41"/>
  <c r="K398" i="45" s="1"/>
  <c r="F294" i="41"/>
  <c r="K399" i="45" s="1"/>
  <c r="F295" i="41"/>
  <c r="K400" i="45" s="1"/>
  <c r="F296" i="41"/>
  <c r="K401" i="45" s="1"/>
  <c r="F272" i="41"/>
  <c r="K402" i="45" s="1"/>
  <c r="F273" i="41"/>
  <c r="K403" i="45" s="1"/>
  <c r="F274" i="41"/>
  <c r="K404" i="45" s="1"/>
  <c r="F275" i="41"/>
  <c r="K405" i="45" s="1"/>
  <c r="F276" i="41"/>
  <c r="K406" i="45" s="1"/>
  <c r="F277" i="41"/>
  <c r="K407" i="45" s="1"/>
  <c r="F279" i="41"/>
  <c r="K409" i="45" s="1"/>
  <c r="F280" i="41"/>
  <c r="K410" i="45" s="1"/>
  <c r="F281" i="41"/>
  <c r="K411" i="45" s="1"/>
  <c r="F283" i="41"/>
  <c r="K412" i="45" s="1"/>
  <c r="F297" i="41"/>
  <c r="K413" i="45" s="1"/>
  <c r="F298" i="41"/>
  <c r="K414" i="45" s="1"/>
  <c r="F299" i="41"/>
  <c r="K416" i="45" s="1"/>
  <c r="F300" i="41"/>
  <c r="K417" i="45" s="1"/>
  <c r="F304" i="41"/>
  <c r="K419" i="45" s="1"/>
  <c r="F305" i="41"/>
  <c r="K420" i="45" s="1"/>
  <c r="F306" i="41"/>
  <c r="K421" i="45" s="1"/>
  <c r="F307" i="41"/>
  <c r="K422" i="45" s="1"/>
  <c r="F308" i="41"/>
  <c r="K423" i="45" s="1"/>
  <c r="F309" i="41"/>
  <c r="K424" i="45" s="1"/>
  <c r="F310" i="41"/>
  <c r="K425" i="45" s="1"/>
  <c r="F311" i="41"/>
  <c r="K426" i="45" s="1"/>
  <c r="F312" i="41"/>
  <c r="K427" i="45" s="1"/>
  <c r="F313" i="41"/>
  <c r="K428" i="45" s="1"/>
  <c r="F314" i="41"/>
  <c r="K429" i="45" s="1"/>
  <c r="F315" i="41"/>
  <c r="K430" i="45" s="1"/>
  <c r="F316" i="41"/>
  <c r="K431" i="45" s="1"/>
  <c r="F317" i="41"/>
  <c r="K432" i="45" s="1"/>
  <c r="F318" i="41"/>
  <c r="K433" i="45" s="1"/>
  <c r="F319" i="41"/>
  <c r="K434" i="45" s="1"/>
  <c r="F320" i="41"/>
  <c r="K436" i="45" s="1"/>
  <c r="F321" i="41"/>
  <c r="K437" i="45" s="1"/>
  <c r="F322" i="41"/>
  <c r="K438" i="45" s="1"/>
  <c r="F323" i="41"/>
  <c r="K439" i="45" s="1"/>
  <c r="F324" i="41"/>
  <c r="K440" i="45" s="1"/>
  <c r="F325" i="41"/>
  <c r="K441" i="45" s="1"/>
  <c r="F326" i="41"/>
  <c r="K442" i="45" s="1"/>
  <c r="F327" i="41"/>
  <c r="K443" i="45" s="1"/>
  <c r="F328" i="41"/>
  <c r="K444" i="45" s="1"/>
  <c r="F329" i="41"/>
  <c r="K446" i="45" s="1"/>
  <c r="F330" i="41"/>
  <c r="K447" i="45" s="1"/>
  <c r="U10" i="5" l="1"/>
  <c r="F22" i="12" l="1"/>
  <c r="F23" i="12"/>
  <c r="F24" i="12"/>
  <c r="F25" i="12"/>
  <c r="F26" i="12"/>
  <c r="F27" i="12"/>
  <c r="F28" i="12"/>
  <c r="F29" i="12"/>
  <c r="F33" i="12"/>
  <c r="F34" i="12"/>
  <c r="F35" i="12"/>
  <c r="F36" i="12"/>
  <c r="F37" i="12"/>
  <c r="F38" i="12"/>
  <c r="F39" i="12"/>
  <c r="F40" i="12"/>
  <c r="F41" i="12"/>
  <c r="F42" i="12"/>
  <c r="F43" i="12"/>
  <c r="F47" i="12"/>
  <c r="F48" i="12"/>
  <c r="F49" i="12"/>
  <c r="F50" i="12"/>
  <c r="F51" i="12"/>
  <c r="F52" i="12"/>
  <c r="F53" i="12"/>
  <c r="F54" i="12"/>
  <c r="F29" i="6"/>
  <c r="T10" i="5" l="1"/>
  <c r="T3" i="5"/>
  <c r="F75" i="16" l="1"/>
  <c r="F74" i="16"/>
  <c r="F64" i="16"/>
  <c r="F63" i="16"/>
  <c r="F62" i="16"/>
  <c r="F61" i="16"/>
  <c r="F60" i="16"/>
  <c r="F55" i="16"/>
  <c r="F52" i="16"/>
  <c r="F51" i="16"/>
  <c r="F50" i="16"/>
  <c r="F49" i="16"/>
  <c r="F48" i="16"/>
  <c r="F47" i="16"/>
  <c r="F46" i="16"/>
  <c r="F45" i="16"/>
  <c r="F44" i="16"/>
  <c r="F38" i="16"/>
  <c r="F85" i="16"/>
  <c r="F84" i="16"/>
  <c r="F83" i="16"/>
  <c r="F82" i="16"/>
  <c r="F81" i="16"/>
  <c r="F80" i="16"/>
  <c r="F79" i="16"/>
  <c r="F78" i="16"/>
  <c r="F48" i="20"/>
  <c r="F55" i="18"/>
  <c r="F74" i="18"/>
  <c r="F73" i="18"/>
  <c r="F72" i="18"/>
  <c r="F71" i="18"/>
  <c r="F70" i="18"/>
  <c r="F69" i="18"/>
  <c r="F68" i="18"/>
  <c r="F67" i="18"/>
  <c r="F66" i="18"/>
  <c r="F65" i="18"/>
  <c r="F64" i="18"/>
  <c r="F63" i="18"/>
  <c r="F62" i="18"/>
  <c r="F61" i="18"/>
  <c r="F60" i="18"/>
  <c r="F59" i="18"/>
  <c r="F58" i="18"/>
  <c r="F28" i="17"/>
  <c r="F52" i="10"/>
  <c r="F41" i="10"/>
  <c r="F51" i="10"/>
  <c r="F50" i="10"/>
  <c r="F49" i="10"/>
  <c r="F48" i="10"/>
  <c r="F47" i="10"/>
  <c r="F46" i="10"/>
  <c r="F45" i="10"/>
  <c r="F44" i="10"/>
  <c r="F46" i="1"/>
  <c r="F45" i="1"/>
  <c r="F34" i="1"/>
  <c r="F35" i="1"/>
  <c r="F36" i="1"/>
  <c r="F37" i="1"/>
  <c r="F38" i="1"/>
  <c r="F39" i="1"/>
  <c r="F40" i="1"/>
  <c r="F41" i="1"/>
  <c r="F42" i="1"/>
  <c r="F43" i="1"/>
  <c r="F44" i="1"/>
  <c r="F71" i="1"/>
  <c r="F70" i="1"/>
  <c r="F69" i="1"/>
  <c r="F68" i="1"/>
  <c r="F67" i="1"/>
  <c r="F66" i="1"/>
  <c r="F63" i="1"/>
  <c r="F62" i="1"/>
  <c r="F61" i="1"/>
  <c r="F60" i="1"/>
  <c r="F59" i="1"/>
  <c r="F58" i="1"/>
  <c r="F56" i="1"/>
  <c r="O61" i="5"/>
  <c r="F45" i="8"/>
  <c r="F44" i="8"/>
  <c r="F43" i="8"/>
  <c r="F34" i="8"/>
  <c r="F33" i="8"/>
  <c r="F32" i="8"/>
  <c r="F148" i="5"/>
  <c r="F147" i="5"/>
  <c r="F146" i="5"/>
  <c r="F145" i="5"/>
  <c r="F144" i="5"/>
  <c r="F143" i="5"/>
  <c r="F142" i="5"/>
  <c r="F141" i="5"/>
  <c r="F140" i="5"/>
  <c r="F139" i="5"/>
  <c r="F138" i="5"/>
  <c r="F137" i="5"/>
  <c r="F136" i="5"/>
  <c r="F135" i="5"/>
  <c r="F134" i="5"/>
  <c r="F133" i="5"/>
  <c r="F132" i="5"/>
  <c r="F131" i="5"/>
  <c r="F130" i="5"/>
  <c r="F129" i="5"/>
  <c r="F128" i="5"/>
  <c r="F127" i="5"/>
  <c r="F126" i="5"/>
  <c r="F125" i="5"/>
  <c r="F124" i="5"/>
  <c r="F123" i="5"/>
  <c r="F122" i="5"/>
  <c r="F174" i="5"/>
  <c r="F173" i="5"/>
  <c r="F172" i="5"/>
  <c r="F171" i="5"/>
  <c r="F170" i="5"/>
  <c r="F169" i="5"/>
  <c r="F168" i="5"/>
  <c r="F167" i="5"/>
  <c r="F166" i="5"/>
  <c r="F165" i="5"/>
  <c r="F164" i="5"/>
  <c r="F163" i="5"/>
  <c r="F162" i="5"/>
  <c r="F161" i="5"/>
  <c r="F160" i="5"/>
  <c r="F159" i="5"/>
  <c r="F158" i="5"/>
  <c r="F157" i="5"/>
  <c r="F156" i="5"/>
  <c r="F155" i="5"/>
  <c r="F154" i="5"/>
  <c r="F153" i="5"/>
  <c r="F152" i="5"/>
  <c r="F151" i="5"/>
  <c r="F150" i="5"/>
  <c r="F149" i="5"/>
  <c r="F85" i="5"/>
  <c r="F84" i="5"/>
  <c r="F83" i="5"/>
  <c r="F82" i="5"/>
  <c r="F81" i="5"/>
  <c r="F80" i="5"/>
  <c r="F79" i="5"/>
  <c r="F78" i="5"/>
  <c r="F77" i="5"/>
  <c r="F76" i="5"/>
  <c r="F75" i="5"/>
  <c r="F74" i="5"/>
  <c r="F73" i="5"/>
  <c r="F72" i="5"/>
  <c r="F71" i="5"/>
  <c r="F70" i="5"/>
  <c r="F69" i="5"/>
  <c r="F68" i="5"/>
  <c r="F67" i="5"/>
  <c r="F66" i="5"/>
  <c r="F65" i="5"/>
  <c r="F64" i="5"/>
  <c r="F63" i="5"/>
  <c r="F62" i="5"/>
  <c r="F61" i="5"/>
  <c r="F60" i="5"/>
  <c r="F59" i="5"/>
  <c r="F58" i="5"/>
  <c r="F57" i="5"/>
  <c r="F56" i="5"/>
  <c r="F55" i="5"/>
  <c r="F54" i="5"/>
  <c r="F53" i="5"/>
  <c r="F52" i="5"/>
  <c r="F51" i="5"/>
  <c r="F50" i="5"/>
  <c r="F49" i="5"/>
  <c r="F48" i="5"/>
  <c r="F47" i="5"/>
  <c r="F46" i="5"/>
  <c r="F45" i="5"/>
  <c r="F44" i="5"/>
  <c r="F43" i="5"/>
  <c r="F42" i="5"/>
  <c r="F41" i="5"/>
  <c r="F40" i="5"/>
  <c r="F39" i="5"/>
  <c r="F38" i="5"/>
  <c r="F37" i="5"/>
  <c r="F36" i="5"/>
  <c r="F35" i="5"/>
  <c r="F34" i="5"/>
  <c r="F33" i="5"/>
  <c r="F32" i="5"/>
  <c r="F370" i="5"/>
  <c r="F369" i="5"/>
  <c r="F368" i="5"/>
  <c r="F367" i="5"/>
  <c r="F366" i="5"/>
  <c r="F365" i="5"/>
  <c r="F364" i="5"/>
  <c r="F363" i="5"/>
  <c r="F362" i="5"/>
  <c r="F361" i="5"/>
  <c r="F360" i="5"/>
  <c r="F359" i="5"/>
  <c r="F358" i="5"/>
  <c r="F357" i="5"/>
  <c r="F356" i="5"/>
  <c r="F355" i="5"/>
  <c r="F354" i="5"/>
  <c r="F353" i="5"/>
  <c r="F352" i="5"/>
  <c r="F351" i="5"/>
  <c r="F350" i="5"/>
  <c r="F349" i="5"/>
  <c r="F348" i="5"/>
  <c r="F347" i="5"/>
  <c r="F346" i="5"/>
  <c r="F345" i="5"/>
  <c r="F344" i="5"/>
  <c r="F343" i="5"/>
  <c r="F342" i="5"/>
  <c r="F341" i="5"/>
  <c r="F311" i="5"/>
  <c r="F310" i="5"/>
  <c r="F309" i="5"/>
  <c r="F308" i="5"/>
  <c r="F307" i="5"/>
  <c r="F306" i="5"/>
  <c r="F305" i="5"/>
  <c r="F304" i="5"/>
  <c r="F303" i="5"/>
  <c r="F302" i="5"/>
  <c r="F301" i="5"/>
  <c r="F300" i="5"/>
  <c r="F299" i="5"/>
  <c r="F298" i="5"/>
  <c r="F297" i="5"/>
  <c r="F296" i="5"/>
  <c r="F295" i="5"/>
  <c r="F294" i="5"/>
  <c r="F293" i="5"/>
  <c r="F292" i="5"/>
  <c r="F291" i="5"/>
  <c r="F290" i="5"/>
  <c r="F223" i="5"/>
  <c r="F222" i="5"/>
  <c r="F221" i="5"/>
  <c r="F220" i="5"/>
  <c r="F219" i="5"/>
  <c r="F218" i="5"/>
  <c r="F217" i="5"/>
  <c r="F216" i="5"/>
  <c r="F215" i="5"/>
  <c r="F214" i="5"/>
  <c r="F213" i="5"/>
  <c r="F212" i="5"/>
  <c r="F211" i="5"/>
  <c r="F210" i="5"/>
  <c r="F209" i="5"/>
  <c r="F208" i="5"/>
  <c r="F207" i="5"/>
  <c r="F206" i="5"/>
  <c r="F205" i="5"/>
  <c r="F204" i="5"/>
  <c r="F203" i="5"/>
  <c r="F202" i="5"/>
  <c r="F201" i="5"/>
  <c r="F200" i="5"/>
  <c r="F199" i="5"/>
  <c r="F198" i="5"/>
  <c r="F197" i="5"/>
  <c r="F196" i="5"/>
  <c r="F195" i="5"/>
  <c r="F194" i="5"/>
  <c r="F193" i="5"/>
  <c r="F192" i="5"/>
  <c r="F191" i="5"/>
  <c r="F190" i="5"/>
  <c r="F189" i="5"/>
  <c r="F188" i="5"/>
  <c r="F187" i="5"/>
  <c r="F186" i="5"/>
  <c r="F185" i="5"/>
  <c r="F184" i="5"/>
  <c r="F183" i="5"/>
  <c r="F182" i="5"/>
  <c r="F181" i="5"/>
  <c r="F180" i="5"/>
  <c r="F179" i="5"/>
  <c r="F178" i="5"/>
  <c r="F177" i="5"/>
  <c r="F176" i="5"/>
  <c r="F175" i="5"/>
  <c r="F289" i="5"/>
  <c r="F288" i="5"/>
  <c r="F287" i="5"/>
  <c r="F286" i="5"/>
  <c r="F285" i="5"/>
  <c r="F284" i="5"/>
  <c r="F283" i="5"/>
  <c r="F282" i="5"/>
  <c r="F281" i="5"/>
  <c r="F280" i="5"/>
  <c r="F279" i="5"/>
  <c r="F278" i="5"/>
  <c r="F277" i="5"/>
  <c r="F276" i="5"/>
  <c r="F275" i="5"/>
  <c r="F274" i="5"/>
  <c r="F273" i="5"/>
  <c r="F272" i="5"/>
  <c r="F271" i="5"/>
  <c r="F270" i="5"/>
  <c r="F269" i="5"/>
  <c r="F268" i="5"/>
  <c r="F267" i="5"/>
  <c r="F266" i="5"/>
  <c r="F265" i="5"/>
  <c r="F264" i="5"/>
  <c r="F263" i="5"/>
  <c r="F262" i="5"/>
  <c r="F261" i="5"/>
  <c r="F31" i="5"/>
  <c r="F30" i="5"/>
  <c r="F29" i="5"/>
  <c r="F28" i="5"/>
  <c r="F27" i="5"/>
  <c r="F26" i="5"/>
  <c r="F25" i="5"/>
  <c r="F24" i="5"/>
  <c r="F23" i="5"/>
  <c r="F22" i="5"/>
  <c r="F21" i="5"/>
  <c r="F20" i="5"/>
  <c r="F19" i="5"/>
  <c r="F18" i="5"/>
  <c r="F17" i="5"/>
  <c r="F16" i="5"/>
  <c r="F15" i="5"/>
  <c r="F14" i="5"/>
  <c r="F13" i="5"/>
  <c r="F12" i="5"/>
  <c r="F11" i="5"/>
  <c r="F10" i="5"/>
  <c r="F9" i="5"/>
  <c r="F8" i="5"/>
  <c r="F7" i="5"/>
  <c r="F6" i="5"/>
  <c r="F5" i="5"/>
  <c r="F4" i="5"/>
  <c r="F3" i="5"/>
  <c r="F2" i="5"/>
  <c r="F260" i="5"/>
  <c r="F259" i="5"/>
  <c r="F258" i="5"/>
  <c r="F257" i="5"/>
  <c r="F256" i="5"/>
  <c r="F255" i="5"/>
  <c r="F254" i="5"/>
  <c r="F253" i="5"/>
  <c r="F252" i="5"/>
  <c r="F251" i="5"/>
  <c r="F250" i="5"/>
  <c r="F249" i="5"/>
  <c r="F248" i="5"/>
  <c r="F247" i="5"/>
  <c r="F246" i="5"/>
  <c r="F245" i="5"/>
  <c r="F244" i="5"/>
  <c r="F243" i="5"/>
  <c r="F242" i="5"/>
  <c r="F241" i="5"/>
  <c r="F240" i="5"/>
  <c r="F239" i="5"/>
  <c r="F238" i="5"/>
  <c r="F237" i="5"/>
  <c r="F236" i="5"/>
  <c r="F235" i="5"/>
  <c r="F234" i="5"/>
  <c r="F233" i="5"/>
  <c r="F232" i="5"/>
  <c r="F231" i="5"/>
  <c r="F230" i="5"/>
  <c r="F229" i="5"/>
  <c r="F228" i="5"/>
  <c r="F227" i="5"/>
  <c r="F226" i="5"/>
  <c r="F225" i="5"/>
  <c r="F224" i="5"/>
  <c r="F340" i="5"/>
  <c r="F339" i="5"/>
  <c r="F338" i="5"/>
  <c r="F337" i="5"/>
  <c r="F336" i="5"/>
  <c r="F335" i="5"/>
  <c r="F334" i="5"/>
  <c r="F333" i="5"/>
  <c r="F332" i="5"/>
  <c r="F331" i="5"/>
  <c r="F330" i="5"/>
  <c r="F329" i="5"/>
  <c r="F328" i="5"/>
  <c r="F327" i="5"/>
  <c r="F326" i="5"/>
  <c r="F325" i="5"/>
  <c r="F324" i="5"/>
  <c r="F323" i="5"/>
  <c r="F322" i="5"/>
  <c r="F321" i="5"/>
  <c r="F320" i="5"/>
  <c r="F319" i="5"/>
  <c r="F318" i="5"/>
  <c r="F317" i="5"/>
  <c r="F316" i="5"/>
  <c r="F315" i="5"/>
  <c r="F314" i="5"/>
  <c r="F313" i="5"/>
  <c r="F312" i="5"/>
  <c r="F121" i="5"/>
  <c r="F120" i="5"/>
  <c r="F119" i="5"/>
  <c r="F118" i="5"/>
  <c r="F117" i="5"/>
  <c r="F116" i="5"/>
  <c r="F115" i="5"/>
  <c r="F114" i="5"/>
  <c r="F113" i="5"/>
  <c r="F112" i="5"/>
  <c r="F111" i="5"/>
  <c r="F110" i="5"/>
  <c r="F109" i="5"/>
  <c r="F108" i="5"/>
  <c r="F107" i="5"/>
  <c r="F106" i="5"/>
  <c r="F105" i="5"/>
  <c r="F104" i="5"/>
  <c r="F103" i="5"/>
  <c r="F102" i="5"/>
  <c r="F101" i="5"/>
  <c r="F100" i="5"/>
  <c r="F99" i="5"/>
  <c r="F98" i="5"/>
  <c r="F97" i="5"/>
  <c r="F96" i="5"/>
  <c r="F95" i="5"/>
  <c r="F94" i="5"/>
  <c r="F93" i="5"/>
  <c r="F92" i="5"/>
  <c r="F91" i="5"/>
  <c r="F90" i="5"/>
  <c r="F89" i="5"/>
  <c r="F88" i="5"/>
  <c r="F87" i="5"/>
  <c r="F86" i="5"/>
  <c r="G86" i="5" l="1"/>
  <c r="L79" i="5" s="1"/>
  <c r="G89" i="5"/>
  <c r="G97" i="5"/>
  <c r="G93" i="5"/>
  <c r="G101" i="5"/>
  <c r="G286" i="5"/>
  <c r="N108" i="5" s="1"/>
  <c r="G281" i="5"/>
  <c r="G289" i="5"/>
  <c r="G109" i="5"/>
  <c r="G315" i="5"/>
  <c r="G323" i="5"/>
  <c r="G284" i="5"/>
  <c r="M108" i="5" s="1"/>
  <c r="O108" i="5" s="1"/>
  <c r="G105" i="5"/>
  <c r="M81" i="5" s="1"/>
  <c r="G121" i="5"/>
  <c r="G327" i="5"/>
  <c r="M115" i="5" s="1"/>
  <c r="G117" i="5"/>
  <c r="G331" i="5"/>
  <c r="N115" i="5" s="1"/>
  <c r="G113" i="5"/>
  <c r="G319" i="5"/>
  <c r="G335" i="5"/>
  <c r="M116" i="5" s="1"/>
  <c r="G339" i="5"/>
  <c r="G226" i="5"/>
  <c r="G230" i="5"/>
  <c r="L100" i="5" s="1"/>
  <c r="G234" i="5"/>
  <c r="G238" i="5"/>
  <c r="G149" i="5"/>
  <c r="L89" i="5" s="1"/>
  <c r="G185" i="5"/>
  <c r="G190" i="5"/>
  <c r="L95" i="5" s="1"/>
  <c r="G198" i="5"/>
  <c r="G206" i="5"/>
  <c r="G214" i="5"/>
  <c r="G291" i="5"/>
  <c r="G296" i="5"/>
  <c r="G301" i="5"/>
  <c r="G369" i="5"/>
  <c r="G122" i="5"/>
  <c r="L85" i="5" s="1"/>
  <c r="G92" i="5"/>
  <c r="G108" i="5"/>
  <c r="G120" i="5"/>
  <c r="G318" i="5"/>
  <c r="G334" i="5"/>
  <c r="G225" i="5"/>
  <c r="M99" i="5" s="1"/>
  <c r="G237" i="5"/>
  <c r="N100" i="5" s="1"/>
  <c r="G241" i="5"/>
  <c r="G246" i="5"/>
  <c r="G249" i="5"/>
  <c r="N101" i="5" s="1"/>
  <c r="G251" i="5"/>
  <c r="M102" i="5" s="1"/>
  <c r="G254" i="5"/>
  <c r="G257" i="5"/>
  <c r="N103" i="5" s="1"/>
  <c r="G259" i="5"/>
  <c r="G3" i="5"/>
  <c r="G6" i="5"/>
  <c r="G8" i="5"/>
  <c r="L68" i="5" s="1"/>
  <c r="G11" i="5"/>
  <c r="G14" i="5"/>
  <c r="G16" i="5"/>
  <c r="G19" i="5"/>
  <c r="G22" i="5"/>
  <c r="G24" i="5"/>
  <c r="N69" i="5" s="1"/>
  <c r="G27" i="5"/>
  <c r="G30" i="5"/>
  <c r="G261" i="5"/>
  <c r="L105" i="5" s="1"/>
  <c r="G264" i="5"/>
  <c r="G267" i="5"/>
  <c r="G269" i="5"/>
  <c r="G271" i="5"/>
  <c r="G273" i="5"/>
  <c r="G275" i="5"/>
  <c r="G277" i="5"/>
  <c r="G279" i="5"/>
  <c r="N107" i="5" s="1"/>
  <c r="G287" i="5"/>
  <c r="G180" i="5"/>
  <c r="G188" i="5"/>
  <c r="N94" i="5" s="1"/>
  <c r="G196" i="5"/>
  <c r="G204" i="5"/>
  <c r="M96" i="5" s="1"/>
  <c r="G212" i="5"/>
  <c r="G220" i="5"/>
  <c r="N97" i="5" s="1"/>
  <c r="G294" i="5"/>
  <c r="N110" i="5" s="1"/>
  <c r="G302" i="5"/>
  <c r="N111" i="5" s="1"/>
  <c r="G343" i="5"/>
  <c r="M118" i="5" s="1"/>
  <c r="G351" i="5"/>
  <c r="N119" i="5" s="1"/>
  <c r="G359" i="5"/>
  <c r="G367" i="5"/>
  <c r="N122" i="5" s="1"/>
  <c r="G38" i="5"/>
  <c r="N72" i="5" s="1"/>
  <c r="G49" i="5"/>
  <c r="G64" i="5"/>
  <c r="M75" i="5" s="1"/>
  <c r="G138" i="5"/>
  <c r="G177" i="5"/>
  <c r="G182" i="5"/>
  <c r="G193" i="5"/>
  <c r="M95" i="5" s="1"/>
  <c r="G201" i="5"/>
  <c r="L96" i="5" s="1"/>
  <c r="G209" i="5"/>
  <c r="G217" i="5"/>
  <c r="G222" i="5"/>
  <c r="G293" i="5"/>
  <c r="G299" i="5"/>
  <c r="G310" i="5"/>
  <c r="G70" i="5"/>
  <c r="G96" i="5"/>
  <c r="M80" i="5" s="1"/>
  <c r="G104" i="5"/>
  <c r="L81" i="5" s="1"/>
  <c r="G116" i="5"/>
  <c r="M83" i="5" s="1"/>
  <c r="G322" i="5"/>
  <c r="G330" i="5"/>
  <c r="G229" i="5"/>
  <c r="G233" i="5"/>
  <c r="G243" i="5"/>
  <c r="L101" i="5" s="1"/>
  <c r="G87" i="5"/>
  <c r="M79" i="5" s="1"/>
  <c r="G91" i="5"/>
  <c r="N79" i="5" s="1"/>
  <c r="G95" i="5"/>
  <c r="L80" i="5" s="1"/>
  <c r="G99" i="5"/>
  <c r="G103" i="5"/>
  <c r="G107" i="5"/>
  <c r="G111" i="5"/>
  <c r="G115" i="5"/>
  <c r="G119" i="5"/>
  <c r="G313" i="5"/>
  <c r="G317" i="5"/>
  <c r="G321" i="5"/>
  <c r="N114" i="5" s="1"/>
  <c r="G325" i="5"/>
  <c r="G329" i="5"/>
  <c r="G333" i="5"/>
  <c r="G337" i="5"/>
  <c r="N116" i="5" s="1"/>
  <c r="G224" i="5"/>
  <c r="L99" i="5" s="1"/>
  <c r="G228" i="5"/>
  <c r="N99" i="5" s="1"/>
  <c r="G232" i="5"/>
  <c r="G236" i="5"/>
  <c r="G240" i="5"/>
  <c r="G280" i="5"/>
  <c r="G124" i="5"/>
  <c r="G161" i="5"/>
  <c r="G82" i="5"/>
  <c r="N77" i="5" s="1"/>
  <c r="G66" i="5"/>
  <c r="G48" i="5"/>
  <c r="N73" i="5" s="1"/>
  <c r="G40" i="5"/>
  <c r="G32" i="5"/>
  <c r="L72" i="5" s="1"/>
  <c r="G366" i="5"/>
  <c r="G358" i="5"/>
  <c r="N120" i="5" s="1"/>
  <c r="G350" i="5"/>
  <c r="G143" i="5"/>
  <c r="G136" i="5"/>
  <c r="G173" i="5"/>
  <c r="G157" i="5"/>
  <c r="L90" i="5" s="1"/>
  <c r="G78" i="5"/>
  <c r="N76" i="5" s="1"/>
  <c r="G62" i="5"/>
  <c r="N74" i="5" s="1"/>
  <c r="G50" i="5"/>
  <c r="G42" i="5"/>
  <c r="L73" i="5" s="1"/>
  <c r="G34" i="5"/>
  <c r="G342" i="5"/>
  <c r="G309" i="5"/>
  <c r="G132" i="5"/>
  <c r="M86" i="5" s="1"/>
  <c r="G169" i="5"/>
  <c r="M91" i="5" s="1"/>
  <c r="G153" i="5"/>
  <c r="G74" i="5"/>
  <c r="G58" i="5"/>
  <c r="G52" i="5"/>
  <c r="G44" i="5"/>
  <c r="G36" i="5"/>
  <c r="G362" i="5"/>
  <c r="G354" i="5"/>
  <c r="G346" i="5"/>
  <c r="G282" i="5"/>
  <c r="G285" i="5"/>
  <c r="G288" i="5"/>
  <c r="G175" i="5"/>
  <c r="L93" i="5" s="1"/>
  <c r="G178" i="5"/>
  <c r="N93" i="5" s="1"/>
  <c r="G181" i="5"/>
  <c r="L94" i="5" s="1"/>
  <c r="G183" i="5"/>
  <c r="M94" i="5" s="1"/>
  <c r="G186" i="5"/>
  <c r="G189" i="5"/>
  <c r="G191" i="5"/>
  <c r="G194" i="5"/>
  <c r="G197" i="5"/>
  <c r="N95" i="5" s="1"/>
  <c r="G199" i="5"/>
  <c r="G202" i="5"/>
  <c r="G205" i="5"/>
  <c r="G207" i="5"/>
  <c r="G210" i="5"/>
  <c r="G213" i="5"/>
  <c r="N96" i="5" s="1"/>
  <c r="G215" i="5"/>
  <c r="G218" i="5"/>
  <c r="M97" i="5" s="1"/>
  <c r="G221" i="5"/>
  <c r="G223" i="5"/>
  <c r="G292" i="5"/>
  <c r="M110" i="5" s="1"/>
  <c r="G295" i="5"/>
  <c r="L111" i="5" s="1"/>
  <c r="G297" i="5"/>
  <c r="M111" i="5" s="1"/>
  <c r="G300" i="5"/>
  <c r="G303" i="5"/>
  <c r="G305" i="5"/>
  <c r="G308" i="5"/>
  <c r="N112" i="5" s="1"/>
  <c r="G348" i="5"/>
  <c r="G356" i="5"/>
  <c r="G364" i="5"/>
  <c r="G46" i="5"/>
  <c r="G80" i="5"/>
  <c r="M77" i="5" s="1"/>
  <c r="O77" i="5" s="1"/>
  <c r="G165" i="5"/>
  <c r="N90" i="5" s="1"/>
  <c r="G179" i="5"/>
  <c r="G187" i="5"/>
  <c r="G195" i="5"/>
  <c r="G203" i="5"/>
  <c r="G211" i="5"/>
  <c r="G219" i="5"/>
  <c r="G304" i="5"/>
  <c r="G41" i="5"/>
  <c r="G145" i="5"/>
  <c r="M87" i="5" s="1"/>
  <c r="G88" i="5"/>
  <c r="G100" i="5"/>
  <c r="N80" i="5" s="1"/>
  <c r="G112" i="5"/>
  <c r="M82" i="5" s="1"/>
  <c r="G314" i="5"/>
  <c r="G326" i="5"/>
  <c r="G338" i="5"/>
  <c r="G90" i="5"/>
  <c r="G94" i="5"/>
  <c r="G98" i="5"/>
  <c r="G102" i="5"/>
  <c r="G106" i="5"/>
  <c r="N81" i="5" s="1"/>
  <c r="G110" i="5"/>
  <c r="L82" i="5" s="1"/>
  <c r="G114" i="5"/>
  <c r="N82" i="5" s="1"/>
  <c r="G118" i="5"/>
  <c r="N83" i="5" s="1"/>
  <c r="G312" i="5"/>
  <c r="L114" i="5" s="1"/>
  <c r="G316" i="5"/>
  <c r="M114" i="5" s="1"/>
  <c r="M113" i="5" s="1"/>
  <c r="G320" i="5"/>
  <c r="G324" i="5"/>
  <c r="L115" i="5" s="1"/>
  <c r="O115" i="5" s="1"/>
  <c r="G328" i="5"/>
  <c r="G332" i="5"/>
  <c r="G336" i="5"/>
  <c r="G340" i="5"/>
  <c r="G227" i="5"/>
  <c r="G231" i="5"/>
  <c r="M100" i="5" s="1"/>
  <c r="G235" i="5"/>
  <c r="G239" i="5"/>
  <c r="G242" i="5"/>
  <c r="G245" i="5"/>
  <c r="G247" i="5"/>
  <c r="G250" i="5"/>
  <c r="L102" i="5" s="1"/>
  <c r="G253" i="5"/>
  <c r="G255" i="5"/>
  <c r="M103" i="5" s="1"/>
  <c r="G258" i="5"/>
  <c r="G2" i="5"/>
  <c r="L67" i="5" s="1"/>
  <c r="G4" i="5"/>
  <c r="G7" i="5"/>
  <c r="G10" i="5"/>
  <c r="M68" i="5" s="1"/>
  <c r="G12" i="5"/>
  <c r="G15" i="5"/>
  <c r="N68" i="5" s="1"/>
  <c r="N66" i="5" s="1"/>
  <c r="G18" i="5"/>
  <c r="G20" i="5"/>
  <c r="M69" i="5" s="1"/>
  <c r="G23" i="5"/>
  <c r="G26" i="5"/>
  <c r="M70" i="5" s="1"/>
  <c r="O70" i="5" s="1"/>
  <c r="G28" i="5"/>
  <c r="N70" i="5" s="1"/>
  <c r="G31" i="5"/>
  <c r="G263" i="5"/>
  <c r="G265" i="5"/>
  <c r="N105" i="5" s="1"/>
  <c r="G283" i="5"/>
  <c r="G176" i="5"/>
  <c r="M93" i="5" s="1"/>
  <c r="M92" i="5" s="1"/>
  <c r="G184" i="5"/>
  <c r="G192" i="5"/>
  <c r="G200" i="5"/>
  <c r="G208" i="5"/>
  <c r="G216" i="5"/>
  <c r="G290" i="5"/>
  <c r="L110" i="5" s="1"/>
  <c r="G298" i="5"/>
  <c r="G306" i="5"/>
  <c r="M112" i="5" s="1"/>
  <c r="O112" i="5" s="1"/>
  <c r="G341" i="5"/>
  <c r="L118" i="5" s="1"/>
  <c r="G33" i="5"/>
  <c r="M72" i="5" s="1"/>
  <c r="G54" i="5"/>
  <c r="L74" i="5" s="1"/>
  <c r="G159" i="5"/>
  <c r="M90" i="5" s="1"/>
  <c r="G128" i="5"/>
  <c r="G244" i="5"/>
  <c r="M101" i="5" s="1"/>
  <c r="G248" i="5"/>
  <c r="G252" i="5"/>
  <c r="N102" i="5" s="1"/>
  <c r="G256" i="5"/>
  <c r="G260" i="5"/>
  <c r="G5" i="5"/>
  <c r="M67" i="5" s="1"/>
  <c r="G9" i="5"/>
  <c r="G13" i="5"/>
  <c r="G17" i="5"/>
  <c r="L69" i="5" s="1"/>
  <c r="G21" i="5"/>
  <c r="G25" i="5"/>
  <c r="G29" i="5"/>
  <c r="G262" i="5"/>
  <c r="M105" i="5" s="1"/>
  <c r="G266" i="5"/>
  <c r="L106" i="5" s="1"/>
  <c r="G270" i="5"/>
  <c r="G274" i="5"/>
  <c r="G278" i="5"/>
  <c r="G349" i="5"/>
  <c r="M119" i="5" s="1"/>
  <c r="G357" i="5"/>
  <c r="G365" i="5"/>
  <c r="M122" i="5" s="1"/>
  <c r="O122" i="5" s="1"/>
  <c r="G370" i="5"/>
  <c r="G39" i="5"/>
  <c r="G47" i="5"/>
  <c r="G68" i="5"/>
  <c r="G84" i="5"/>
  <c r="G163" i="5"/>
  <c r="G126" i="5"/>
  <c r="M85" i="5" s="1"/>
  <c r="M84" i="5" s="1"/>
  <c r="G139" i="5"/>
  <c r="N86" i="5" s="1"/>
  <c r="G146" i="5"/>
  <c r="G307" i="5"/>
  <c r="G311" i="5"/>
  <c r="G344" i="5"/>
  <c r="G347" i="5"/>
  <c r="L119" i="5" s="1"/>
  <c r="G352" i="5"/>
  <c r="G355" i="5"/>
  <c r="M120" i="5" s="1"/>
  <c r="G360" i="5"/>
  <c r="L121" i="5" s="1"/>
  <c r="G363" i="5"/>
  <c r="N121" i="5" s="1"/>
  <c r="G368" i="5"/>
  <c r="G37" i="5"/>
  <c r="G45" i="5"/>
  <c r="G53" i="5"/>
  <c r="G56" i="5"/>
  <c r="G72" i="5"/>
  <c r="L76" i="5" s="1"/>
  <c r="G151" i="5"/>
  <c r="G167" i="5"/>
  <c r="G130" i="5"/>
  <c r="L86" i="5" s="1"/>
  <c r="G147" i="5"/>
  <c r="N87" i="5" s="1"/>
  <c r="G268" i="5"/>
  <c r="M106" i="5" s="1"/>
  <c r="G272" i="5"/>
  <c r="N106" i="5" s="1"/>
  <c r="G276" i="5"/>
  <c r="M107" i="5" s="1"/>
  <c r="O107" i="5" s="1"/>
  <c r="G345" i="5"/>
  <c r="N118" i="5" s="1"/>
  <c r="N117" i="5" s="1"/>
  <c r="G353" i="5"/>
  <c r="L120" i="5" s="1"/>
  <c r="O120" i="5" s="1"/>
  <c r="G361" i="5"/>
  <c r="M121" i="5" s="1"/>
  <c r="G35" i="5"/>
  <c r="G43" i="5"/>
  <c r="M73" i="5" s="1"/>
  <c r="G51" i="5"/>
  <c r="G60" i="5"/>
  <c r="G76" i="5"/>
  <c r="G155" i="5"/>
  <c r="G171" i="5"/>
  <c r="N91" i="5" s="1"/>
  <c r="G134" i="5"/>
  <c r="G141" i="5"/>
  <c r="L87" i="5" s="1"/>
  <c r="G55" i="5"/>
  <c r="M74" i="5" s="1"/>
  <c r="G61" i="5"/>
  <c r="G63" i="5"/>
  <c r="G69" i="5"/>
  <c r="G71" i="5"/>
  <c r="G75" i="5"/>
  <c r="G81" i="5"/>
  <c r="G83" i="5"/>
  <c r="G150" i="5"/>
  <c r="M89" i="5" s="1"/>
  <c r="M88" i="5" s="1"/>
  <c r="G152" i="5"/>
  <c r="G154" i="5"/>
  <c r="G156" i="5"/>
  <c r="N89" i="5" s="1"/>
  <c r="G158" i="5"/>
  <c r="G160" i="5"/>
  <c r="G162" i="5"/>
  <c r="G164" i="5"/>
  <c r="G166" i="5"/>
  <c r="G168" i="5"/>
  <c r="G170" i="5"/>
  <c r="G172" i="5"/>
  <c r="G174" i="5"/>
  <c r="G123" i="5"/>
  <c r="G125" i="5"/>
  <c r="G127" i="5"/>
  <c r="G129" i="5"/>
  <c r="N85" i="5" s="1"/>
  <c r="G131" i="5"/>
  <c r="G133" i="5"/>
  <c r="G135" i="5"/>
  <c r="G137" i="5"/>
  <c r="G142" i="5"/>
  <c r="G144" i="5"/>
  <c r="G57" i="5"/>
  <c r="G59" i="5"/>
  <c r="G65" i="5"/>
  <c r="G67" i="5"/>
  <c r="N75" i="5" s="1"/>
  <c r="G73" i="5"/>
  <c r="M76" i="5" s="1"/>
  <c r="G77" i="5"/>
  <c r="G79" i="5"/>
  <c r="G85" i="5"/>
  <c r="G140" i="5"/>
  <c r="G148" i="5"/>
  <c r="O121" i="5" l="1"/>
  <c r="O76" i="5"/>
  <c r="N92" i="5"/>
  <c r="O80" i="5"/>
  <c r="O83" i="5"/>
  <c r="O102" i="5"/>
  <c r="O68" i="5"/>
  <c r="L78" i="5"/>
  <c r="O79" i="5"/>
  <c r="N84" i="5"/>
  <c r="N88" i="5"/>
  <c r="O87" i="5"/>
  <c r="O86" i="5"/>
  <c r="O106" i="5"/>
  <c r="M66" i="5"/>
  <c r="O74" i="5"/>
  <c r="O103" i="5"/>
  <c r="O82" i="5"/>
  <c r="O111" i="5"/>
  <c r="O97" i="5"/>
  <c r="O93" i="5"/>
  <c r="L92" i="5"/>
  <c r="O92" i="5" s="1"/>
  <c r="N98" i="5"/>
  <c r="N78" i="5"/>
  <c r="O81" i="5"/>
  <c r="N71" i="5"/>
  <c r="M117" i="5"/>
  <c r="L84" i="5"/>
  <c r="O85" i="5"/>
  <c r="O95" i="5"/>
  <c r="O116" i="5"/>
  <c r="O118" i="5"/>
  <c r="L117" i="5"/>
  <c r="O67" i="5"/>
  <c r="L66" i="5"/>
  <c r="O119" i="5"/>
  <c r="M104" i="5"/>
  <c r="O69" i="5"/>
  <c r="M71" i="5"/>
  <c r="O110" i="5"/>
  <c r="L109" i="5"/>
  <c r="N104" i="5"/>
  <c r="O114" i="5"/>
  <c r="L113" i="5"/>
  <c r="M109" i="5"/>
  <c r="O91" i="5"/>
  <c r="O72" i="5"/>
  <c r="L71" i="5"/>
  <c r="O99" i="5"/>
  <c r="L98" i="5"/>
  <c r="M78" i="5"/>
  <c r="O96" i="5"/>
  <c r="O100" i="5"/>
  <c r="O94" i="5"/>
  <c r="O73" i="5"/>
  <c r="O90" i="5"/>
  <c r="N113" i="5"/>
  <c r="O101" i="5"/>
  <c r="O75" i="5"/>
  <c r="N109" i="5"/>
  <c r="L104" i="5"/>
  <c r="O105" i="5"/>
  <c r="M98" i="5"/>
  <c r="O89" i="5"/>
  <c r="L88" i="5"/>
  <c r="F19" i="13"/>
  <c r="K8" i="13"/>
  <c r="L19" i="13"/>
  <c r="I19" i="13"/>
  <c r="H19" i="13"/>
  <c r="G19" i="13"/>
  <c r="J19" i="13"/>
  <c r="K18" i="13"/>
  <c r="K17" i="13"/>
  <c r="K16" i="13"/>
  <c r="K15" i="13"/>
  <c r="K14" i="13"/>
  <c r="K13" i="13"/>
  <c r="K12" i="13"/>
  <c r="K11" i="13"/>
  <c r="K10" i="13"/>
  <c r="K9" i="13"/>
  <c r="O98" i="5" l="1"/>
  <c r="O66" i="5"/>
  <c r="O88" i="5"/>
  <c r="O117" i="5"/>
  <c r="O104" i="5"/>
  <c r="O109" i="5"/>
  <c r="O71" i="5"/>
  <c r="O113" i="5"/>
  <c r="O84" i="5"/>
  <c r="O78" i="5"/>
  <c r="H458" i="39"/>
  <c r="E458" i="39"/>
  <c r="H450" i="39"/>
  <c r="E450" i="39"/>
  <c r="H454" i="39"/>
  <c r="E454" i="39"/>
  <c r="E451" i="39"/>
  <c r="H451" i="39"/>
  <c r="E455" i="39"/>
  <c r="H455" i="39"/>
  <c r="E452" i="39"/>
  <c r="H452" i="39"/>
  <c r="E456" i="39"/>
  <c r="H456" i="39"/>
  <c r="H449" i="39"/>
  <c r="E449" i="39"/>
  <c r="H453" i="39"/>
  <c r="E453" i="39"/>
  <c r="H457" i="39"/>
  <c r="E457" i="39"/>
  <c r="H448" i="39"/>
  <c r="E448" i="39"/>
  <c r="K19" i="13"/>
  <c r="U4" i="5" l="1"/>
  <c r="U5" i="5"/>
  <c r="U6" i="5"/>
  <c r="U7" i="5"/>
  <c r="U8" i="5"/>
  <c r="U9" i="5"/>
  <c r="U11" i="5"/>
  <c r="U12" i="5"/>
  <c r="U13" i="5"/>
  <c r="U3" i="5"/>
  <c r="T13" i="5"/>
  <c r="T12" i="5"/>
  <c r="T11" i="5"/>
  <c r="T9" i="5"/>
  <c r="T8" i="5"/>
  <c r="T7" i="5"/>
  <c r="T6" i="5"/>
  <c r="T5" i="5"/>
  <c r="T4" i="5"/>
  <c r="B49" i="7" l="1"/>
  <c r="B57" i="7"/>
  <c r="B65" i="7"/>
  <c r="B73" i="7"/>
  <c r="B69" i="7"/>
  <c r="B62" i="7"/>
  <c r="B63" i="7"/>
  <c r="B56" i="7"/>
  <c r="B50" i="7"/>
  <c r="B58" i="7"/>
  <c r="B66" i="7"/>
  <c r="B74" i="7"/>
  <c r="B77" i="7"/>
  <c r="B55" i="7"/>
  <c r="B64" i="7"/>
  <c r="B59" i="7"/>
  <c r="B67" i="7"/>
  <c r="B75" i="7"/>
  <c r="B61" i="7"/>
  <c r="B70" i="7"/>
  <c r="B48" i="7"/>
  <c r="B52" i="7"/>
  <c r="B60" i="7"/>
  <c r="B68" i="7"/>
  <c r="B76" i="7"/>
  <c r="B53" i="7"/>
  <c r="B54" i="7"/>
  <c r="B71" i="7"/>
  <c r="B72" i="7"/>
  <c r="B30" i="7"/>
  <c r="B38" i="7"/>
  <c r="B31" i="7"/>
  <c r="B39" i="7"/>
  <c r="B33" i="7"/>
  <c r="B32" i="7"/>
  <c r="B35" i="7"/>
  <c r="B36" i="7"/>
  <c r="B29" i="7"/>
  <c r="B37" i="7"/>
  <c r="B40" i="7"/>
  <c r="B34" i="7"/>
  <c r="B80" i="7"/>
  <c r="B84" i="7"/>
  <c r="B88" i="7"/>
  <c r="B20" i="7"/>
  <c r="B81" i="7"/>
  <c r="B85" i="7"/>
  <c r="B78" i="7"/>
  <c r="B82" i="7"/>
  <c r="B86" i="7"/>
  <c r="B22" i="7"/>
  <c r="B18" i="7"/>
  <c r="B79" i="7"/>
  <c r="B83" i="7"/>
  <c r="B87" i="7"/>
  <c r="B21" i="7"/>
  <c r="B14" i="7"/>
  <c r="B17" i="7"/>
  <c r="B16" i="7"/>
  <c r="B15" i="7"/>
  <c r="B12" i="7"/>
  <c r="B11" i="7"/>
  <c r="B44" i="7"/>
  <c r="B24" i="7"/>
  <c r="B27" i="7"/>
  <c r="B42" i="7"/>
  <c r="B46" i="7"/>
  <c r="B23" i="7"/>
  <c r="B45" i="7"/>
  <c r="B25" i="7"/>
  <c r="B28" i="7"/>
  <c r="B43" i="7"/>
  <c r="B47" i="7"/>
  <c r="F49" i="14"/>
  <c r="I6" i="56" l="1"/>
  <c r="N3" i="51"/>
  <c r="M3" i="51"/>
  <c r="H6" i="56"/>
  <c r="E6" i="56"/>
  <c r="J3" i="51"/>
  <c r="K3" i="51"/>
  <c r="F6" i="56"/>
  <c r="L3" i="51"/>
  <c r="G6" i="56"/>
  <c r="R43" i="5"/>
  <c r="R13" i="5"/>
  <c r="R38" i="5"/>
  <c r="R8" i="5"/>
  <c r="R39" i="5"/>
  <c r="R9" i="5"/>
  <c r="R12" i="5"/>
  <c r="R42" i="5"/>
  <c r="R33" i="5"/>
  <c r="R3" i="5"/>
  <c r="R11" i="5"/>
  <c r="R41" i="5"/>
  <c r="R34" i="5"/>
  <c r="R4" i="5"/>
  <c r="R37" i="5"/>
  <c r="R7" i="5"/>
  <c r="R36" i="5"/>
  <c r="R6" i="5"/>
  <c r="R5" i="5"/>
  <c r="R35" i="5"/>
  <c r="R40" i="5"/>
  <c r="R10" i="5"/>
  <c r="C7" i="6"/>
  <c r="H45" i="6" l="1"/>
  <c r="D46" i="6"/>
  <c r="D45" i="6"/>
  <c r="H44" i="6"/>
  <c r="D41" i="6"/>
  <c r="D42" i="6"/>
  <c r="K46" i="12"/>
  <c r="J46" i="12"/>
  <c r="I46" i="12"/>
  <c r="H46" i="12"/>
  <c r="H32" i="12"/>
  <c r="G46" i="12"/>
  <c r="K32" i="12"/>
  <c r="J32" i="12"/>
  <c r="I32" i="12"/>
  <c r="G32" i="12"/>
  <c r="K31" i="14"/>
  <c r="H45" i="14"/>
  <c r="I45" i="14"/>
  <c r="J45" i="14"/>
  <c r="G31" i="14"/>
  <c r="H31" i="14"/>
  <c r="K45" i="14"/>
  <c r="I31" i="14"/>
  <c r="J31" i="14"/>
  <c r="G45" i="14"/>
  <c r="A2" i="58"/>
  <c r="A3" i="58"/>
  <c r="G53" i="17"/>
  <c r="G48" i="1"/>
  <c r="G50" i="20"/>
  <c r="G33" i="18"/>
  <c r="G30" i="17"/>
  <c r="G33" i="1"/>
  <c r="G41" i="20"/>
  <c r="G42" i="17"/>
  <c r="G35" i="21"/>
  <c r="G87" i="16"/>
  <c r="G33" i="20"/>
  <c r="G54" i="10"/>
  <c r="G48" i="21"/>
  <c r="G77" i="16"/>
  <c r="G41" i="19"/>
  <c r="G55" i="8"/>
  <c r="G32" i="10"/>
  <c r="G36" i="8"/>
  <c r="G66" i="16"/>
  <c r="G28" i="19"/>
  <c r="G57" i="20"/>
  <c r="G43" i="10"/>
  <c r="G47" i="8"/>
  <c r="G54" i="16"/>
  <c r="G76" i="18"/>
  <c r="G57" i="1"/>
  <c r="G44" i="18"/>
  <c r="G64" i="1"/>
  <c r="G63" i="8"/>
  <c r="G40" i="16"/>
  <c r="G57" i="18"/>
  <c r="C6" i="6"/>
  <c r="C6" i="32"/>
  <c r="E3" i="55"/>
  <c r="C7" i="32"/>
  <c r="D3" i="55"/>
  <c r="C3" i="55"/>
  <c r="D4" i="39"/>
  <c r="C4" i="32"/>
  <c r="D43" i="6"/>
  <c r="I22" i="6"/>
  <c r="N26" i="16"/>
  <c r="N19" i="19"/>
  <c r="N21" i="17"/>
  <c r="N23" i="1"/>
  <c r="N23" i="8"/>
  <c r="Q21" i="17"/>
  <c r="Q19" i="14"/>
  <c r="Q23" i="20"/>
  <c r="Q23" i="18"/>
  <c r="Q21" i="10"/>
  <c r="Q19" i="21"/>
  <c r="Q19" i="12"/>
  <c r="Q26" i="16"/>
  <c r="Q23" i="1"/>
  <c r="N19" i="14"/>
  <c r="N23" i="20"/>
  <c r="N23" i="18"/>
  <c r="N21" i="10"/>
  <c r="N19" i="21"/>
  <c r="N19" i="12"/>
  <c r="Q19" i="19"/>
  <c r="Q23" i="8"/>
  <c r="P2" i="6"/>
  <c r="D9" i="6"/>
  <c r="C4" i="6"/>
  <c r="D14" i="6"/>
  <c r="H13" i="6"/>
  <c r="H15" i="6"/>
  <c r="D15" i="6"/>
  <c r="D16" i="56"/>
  <c r="D10" i="56"/>
  <c r="D17" i="56"/>
  <c r="D11" i="56"/>
  <c r="D9" i="56"/>
  <c r="D18" i="56"/>
  <c r="D4" i="56"/>
  <c r="D9" i="51"/>
  <c r="D21" i="6"/>
  <c r="D22" i="6"/>
  <c r="D12" i="8"/>
  <c r="D15" i="34"/>
  <c r="D10" i="51"/>
  <c r="D4" i="51"/>
  <c r="E65" i="8"/>
  <c r="D13" i="51"/>
  <c r="D11" i="51"/>
  <c r="D12" i="51"/>
  <c r="D8" i="51"/>
  <c r="O46" i="12"/>
  <c r="O55" i="8"/>
  <c r="O48" i="21"/>
  <c r="O57" i="1"/>
  <c r="O54" i="10"/>
  <c r="O53" i="17"/>
  <c r="O76" i="18"/>
  <c r="O25" i="18"/>
  <c r="O57" i="20"/>
  <c r="O25" i="20"/>
  <c r="O87" i="16"/>
  <c r="O40" i="16"/>
  <c r="D24" i="20"/>
  <c r="D22" i="10"/>
  <c r="D20" i="14"/>
  <c r="D14" i="14"/>
  <c r="D21" i="16"/>
  <c r="D17" i="16"/>
  <c r="D20" i="20"/>
  <c r="D16" i="20"/>
  <c r="D16" i="19"/>
  <c r="H21" i="19"/>
  <c r="P21" i="19"/>
  <c r="D20" i="18"/>
  <c r="D16" i="18"/>
  <c r="D18" i="17"/>
  <c r="D14" i="17"/>
  <c r="D16" i="10"/>
  <c r="D18" i="1"/>
  <c r="C15" i="1"/>
  <c r="D16" i="21"/>
  <c r="C15" i="17"/>
  <c r="O32" i="12"/>
  <c r="O47" i="8"/>
  <c r="O35" i="21"/>
  <c r="O48" i="1"/>
  <c r="O43" i="10"/>
  <c r="O42" i="17"/>
  <c r="O57" i="18"/>
  <c r="O41" i="19"/>
  <c r="O50" i="20"/>
  <c r="O21" i="14"/>
  <c r="O77" i="16"/>
  <c r="O28" i="16"/>
  <c r="D20" i="19"/>
  <c r="D24" i="1"/>
  <c r="C17" i="14"/>
  <c r="C24" i="16"/>
  <c r="C20" i="16"/>
  <c r="C16" i="16"/>
  <c r="C19" i="20"/>
  <c r="C15" i="20"/>
  <c r="C21" i="19"/>
  <c r="I21" i="19"/>
  <c r="Q21" i="19"/>
  <c r="C15" i="19"/>
  <c r="C19" i="18"/>
  <c r="C15" i="18"/>
  <c r="C17" i="17"/>
  <c r="C19" i="10"/>
  <c r="C15" i="10"/>
  <c r="D20" i="1"/>
  <c r="C17" i="1"/>
  <c r="C15" i="21"/>
  <c r="G21" i="19"/>
  <c r="K21" i="19"/>
  <c r="C17" i="18"/>
  <c r="C21" i="1"/>
  <c r="D16" i="1"/>
  <c r="O21" i="12"/>
  <c r="O36" i="8"/>
  <c r="O21" i="21"/>
  <c r="O33" i="1"/>
  <c r="O32" i="10"/>
  <c r="O30" i="17"/>
  <c r="O44" i="18"/>
  <c r="O28" i="19"/>
  <c r="O41" i="20"/>
  <c r="O31" i="14"/>
  <c r="O66" i="16"/>
  <c r="G28" i="16"/>
  <c r="D24" i="18"/>
  <c r="D20" i="21"/>
  <c r="D16" i="14"/>
  <c r="D23" i="16"/>
  <c r="D19" i="16"/>
  <c r="D15" i="16"/>
  <c r="D18" i="20"/>
  <c r="D14" i="20"/>
  <c r="E21" i="19"/>
  <c r="J21" i="19"/>
  <c r="R21" i="19"/>
  <c r="D14" i="19"/>
  <c r="D18" i="18"/>
  <c r="D14" i="18"/>
  <c r="D16" i="17"/>
  <c r="D18" i="10"/>
  <c r="D14" i="10"/>
  <c r="C19" i="1"/>
  <c r="D14" i="1"/>
  <c r="D14" i="21"/>
  <c r="C17" i="19"/>
  <c r="C21" i="18"/>
  <c r="C17" i="10"/>
  <c r="C17" i="21"/>
  <c r="O63" i="8"/>
  <c r="O25" i="8"/>
  <c r="O64" i="1"/>
  <c r="O25" i="1"/>
  <c r="O23" i="10"/>
  <c r="O23" i="17"/>
  <c r="O33" i="18"/>
  <c r="O21" i="19"/>
  <c r="O33" i="20"/>
  <c r="O45" i="14"/>
  <c r="O54" i="16"/>
  <c r="D27" i="16"/>
  <c r="D22" i="17"/>
  <c r="D24" i="8"/>
  <c r="C15" i="14"/>
  <c r="C22" i="16"/>
  <c r="C18" i="16"/>
  <c r="C21" i="20"/>
  <c r="C17" i="20"/>
  <c r="S21" i="19"/>
  <c r="C19" i="17"/>
  <c r="S63" i="8"/>
  <c r="S55" i="8"/>
  <c r="S47" i="8"/>
  <c r="S36" i="8"/>
  <c r="S25" i="8"/>
  <c r="P55" i="8"/>
  <c r="P47" i="8"/>
  <c r="P25" i="8"/>
  <c r="R63" i="8"/>
  <c r="R55" i="8"/>
  <c r="R47" i="8"/>
  <c r="R36" i="8"/>
  <c r="R25" i="8"/>
  <c r="Q63" i="8"/>
  <c r="Q55" i="8"/>
  <c r="Q47" i="8"/>
  <c r="Q36" i="8"/>
  <c r="Q25" i="8"/>
  <c r="P36" i="8"/>
  <c r="P63" i="8"/>
  <c r="C21" i="8"/>
  <c r="C17" i="8"/>
  <c r="D45" i="12"/>
  <c r="C15" i="8"/>
  <c r="D20" i="12"/>
  <c r="D14" i="8"/>
  <c r="D20" i="8"/>
  <c r="D16" i="8"/>
  <c r="D31" i="12"/>
  <c r="C19" i="8"/>
  <c r="D18" i="8"/>
  <c r="H43" i="6"/>
  <c r="D4" i="38"/>
  <c r="M9" i="32"/>
  <c r="J9" i="32"/>
  <c r="N6" i="49"/>
  <c r="J6" i="49"/>
  <c r="D4" i="50"/>
  <c r="E14" i="48"/>
  <c r="M6" i="49"/>
  <c r="E10" i="48"/>
  <c r="E12" i="48"/>
  <c r="L6" i="49"/>
  <c r="D5" i="50"/>
  <c r="E18" i="48"/>
  <c r="K6" i="49"/>
  <c r="E16" i="48"/>
  <c r="D5" i="48"/>
  <c r="D4" i="48"/>
  <c r="I3" i="14"/>
  <c r="I3" i="20"/>
  <c r="I3" i="18"/>
  <c r="H3" i="19"/>
  <c r="H3" i="14"/>
  <c r="H3" i="20"/>
  <c r="H3" i="18"/>
  <c r="H3" i="16"/>
  <c r="I3" i="16"/>
  <c r="I3" i="19"/>
  <c r="C13" i="10"/>
  <c r="I7" i="21"/>
  <c r="I7" i="12"/>
  <c r="I9" i="21"/>
  <c r="G6" i="39"/>
  <c r="D6" i="39"/>
  <c r="H41" i="6"/>
  <c r="P21" i="21"/>
  <c r="H21" i="21"/>
  <c r="S35" i="21"/>
  <c r="K35" i="21"/>
  <c r="R48" i="21"/>
  <c r="J48" i="21"/>
  <c r="E48" i="21"/>
  <c r="Q25" i="1"/>
  <c r="I25" i="1"/>
  <c r="C25" i="1"/>
  <c r="P33" i="1"/>
  <c r="H33" i="1"/>
  <c r="S48" i="1"/>
  <c r="K48" i="1"/>
  <c r="R57" i="1"/>
  <c r="J57" i="1"/>
  <c r="E57" i="1"/>
  <c r="Q64" i="1"/>
  <c r="I64" i="1"/>
  <c r="C64" i="1"/>
  <c r="P23" i="10"/>
  <c r="H23" i="10"/>
  <c r="S32" i="10"/>
  <c r="K32" i="10"/>
  <c r="R43" i="10"/>
  <c r="J43" i="10"/>
  <c r="E43" i="10"/>
  <c r="Q54" i="10"/>
  <c r="I54" i="10"/>
  <c r="C54" i="10"/>
  <c r="P23" i="17"/>
  <c r="H23" i="17"/>
  <c r="S30" i="17"/>
  <c r="K30" i="17"/>
  <c r="R42" i="17"/>
  <c r="J42" i="17"/>
  <c r="E42" i="17"/>
  <c r="Q53" i="17"/>
  <c r="I53" i="17"/>
  <c r="C53" i="17"/>
  <c r="P25" i="18"/>
  <c r="H25" i="18"/>
  <c r="S33" i="18"/>
  <c r="K33" i="18"/>
  <c r="R44" i="18"/>
  <c r="J44" i="18"/>
  <c r="E44" i="18"/>
  <c r="Q57" i="18"/>
  <c r="I57" i="18"/>
  <c r="C57" i="18"/>
  <c r="P76" i="18"/>
  <c r="H76" i="18"/>
  <c r="R28" i="19"/>
  <c r="J28" i="19"/>
  <c r="E28" i="19"/>
  <c r="Q41" i="19"/>
  <c r="I41" i="19"/>
  <c r="C41" i="19"/>
  <c r="P25" i="20"/>
  <c r="H25" i="20"/>
  <c r="S33" i="20"/>
  <c r="K33" i="20"/>
  <c r="R41" i="20"/>
  <c r="J41" i="20"/>
  <c r="E41" i="20"/>
  <c r="Q50" i="20"/>
  <c r="I50" i="20"/>
  <c r="C50" i="20"/>
  <c r="P57" i="20"/>
  <c r="H57" i="20"/>
  <c r="S28" i="16"/>
  <c r="K28" i="16"/>
  <c r="R40" i="16"/>
  <c r="J40" i="16"/>
  <c r="E40" i="16"/>
  <c r="Q54" i="16"/>
  <c r="I54" i="16"/>
  <c r="C54" i="16"/>
  <c r="P66" i="16"/>
  <c r="H66" i="16"/>
  <c r="S77" i="16"/>
  <c r="K77" i="16"/>
  <c r="R87" i="16"/>
  <c r="J87" i="16"/>
  <c r="E87" i="16"/>
  <c r="Q21" i="14"/>
  <c r="I21" i="14"/>
  <c r="C21" i="14"/>
  <c r="P31" i="14"/>
  <c r="S45" i="14"/>
  <c r="I9" i="14"/>
  <c r="I7" i="16"/>
  <c r="S21" i="21"/>
  <c r="K21" i="21"/>
  <c r="G21" i="21"/>
  <c r="R35" i="21"/>
  <c r="J35" i="21"/>
  <c r="E35" i="21"/>
  <c r="Q48" i="21"/>
  <c r="I48" i="21"/>
  <c r="C48" i="21"/>
  <c r="P25" i="1"/>
  <c r="H25" i="1"/>
  <c r="S33" i="1"/>
  <c r="K33" i="1"/>
  <c r="R48" i="1"/>
  <c r="J48" i="1"/>
  <c r="E48" i="1"/>
  <c r="Q57" i="1"/>
  <c r="I57" i="1"/>
  <c r="C57" i="1"/>
  <c r="P64" i="1"/>
  <c r="H64" i="1"/>
  <c r="S23" i="10"/>
  <c r="K23" i="10"/>
  <c r="G23" i="10"/>
  <c r="R32" i="10"/>
  <c r="J32" i="10"/>
  <c r="E32" i="10"/>
  <c r="Q43" i="10"/>
  <c r="I43" i="10"/>
  <c r="C43" i="10"/>
  <c r="P54" i="10"/>
  <c r="H54" i="10"/>
  <c r="S23" i="17"/>
  <c r="K23" i="17"/>
  <c r="G23" i="17"/>
  <c r="R30" i="17"/>
  <c r="J30" i="17"/>
  <c r="E30" i="17"/>
  <c r="Q42" i="17"/>
  <c r="I42" i="17"/>
  <c r="C42" i="17"/>
  <c r="P53" i="17"/>
  <c r="H53" i="17"/>
  <c r="S25" i="18"/>
  <c r="K25" i="18"/>
  <c r="G25" i="18"/>
  <c r="R33" i="18"/>
  <c r="J33" i="18"/>
  <c r="E33" i="18"/>
  <c r="Q44" i="18"/>
  <c r="I44" i="18"/>
  <c r="C44" i="18"/>
  <c r="P57" i="18"/>
  <c r="H57" i="18"/>
  <c r="S76" i="18"/>
  <c r="K76" i="18"/>
  <c r="Q28" i="19"/>
  <c r="I28" i="19"/>
  <c r="C28" i="19"/>
  <c r="P41" i="19"/>
  <c r="H41" i="19"/>
  <c r="S25" i="20"/>
  <c r="K25" i="20"/>
  <c r="G25" i="20"/>
  <c r="R33" i="20"/>
  <c r="J33" i="20"/>
  <c r="E33" i="20"/>
  <c r="Q41" i="20"/>
  <c r="I41" i="20"/>
  <c r="C41" i="20"/>
  <c r="P50" i="20"/>
  <c r="H50" i="20"/>
  <c r="S57" i="20"/>
  <c r="K57" i="20"/>
  <c r="R28" i="16"/>
  <c r="J28" i="16"/>
  <c r="E28" i="16"/>
  <c r="Q40" i="16"/>
  <c r="I40" i="16"/>
  <c r="C40" i="16"/>
  <c r="P54" i="16"/>
  <c r="H54" i="16"/>
  <c r="S66" i="16"/>
  <c r="K66" i="16"/>
  <c r="R77" i="16"/>
  <c r="J77" i="16"/>
  <c r="E77" i="16"/>
  <c r="Q87" i="16"/>
  <c r="I87" i="16"/>
  <c r="C87" i="16"/>
  <c r="P21" i="14"/>
  <c r="H21" i="14"/>
  <c r="S31" i="14"/>
  <c r="R45" i="14"/>
  <c r="E45" i="14"/>
  <c r="I7" i="14"/>
  <c r="R21" i="21"/>
  <c r="J21" i="21"/>
  <c r="E21" i="21"/>
  <c r="Q35" i="21"/>
  <c r="I35" i="21"/>
  <c r="C35" i="21"/>
  <c r="P48" i="21"/>
  <c r="H48" i="21"/>
  <c r="S25" i="1"/>
  <c r="K25" i="1"/>
  <c r="G25" i="1"/>
  <c r="R33" i="1"/>
  <c r="J33" i="1"/>
  <c r="E33" i="1"/>
  <c r="Q48" i="1"/>
  <c r="I48" i="1"/>
  <c r="C48" i="1"/>
  <c r="P57" i="1"/>
  <c r="H57" i="1"/>
  <c r="S64" i="1"/>
  <c r="K64" i="1"/>
  <c r="R23" i="10"/>
  <c r="J23" i="10"/>
  <c r="E23" i="10"/>
  <c r="Q32" i="10"/>
  <c r="I32" i="10"/>
  <c r="C32" i="10"/>
  <c r="P43" i="10"/>
  <c r="H43" i="10"/>
  <c r="S54" i="10"/>
  <c r="K54" i="10"/>
  <c r="R23" i="17"/>
  <c r="J23" i="17"/>
  <c r="E23" i="17"/>
  <c r="Q30" i="17"/>
  <c r="I30" i="17"/>
  <c r="C30" i="17"/>
  <c r="P42" i="17"/>
  <c r="H42" i="17"/>
  <c r="S53" i="17"/>
  <c r="K53" i="17"/>
  <c r="R25" i="18"/>
  <c r="J25" i="18"/>
  <c r="E25" i="18"/>
  <c r="Q33" i="18"/>
  <c r="I33" i="18"/>
  <c r="C33" i="18"/>
  <c r="P44" i="18"/>
  <c r="H44" i="18"/>
  <c r="S57" i="18"/>
  <c r="K57" i="18"/>
  <c r="R76" i="18"/>
  <c r="J76" i="18"/>
  <c r="E76" i="18"/>
  <c r="P28" i="19"/>
  <c r="H28" i="19"/>
  <c r="S41" i="19"/>
  <c r="K41" i="19"/>
  <c r="R25" i="20"/>
  <c r="J25" i="20"/>
  <c r="E25" i="20"/>
  <c r="Q33" i="20"/>
  <c r="I33" i="20"/>
  <c r="C33" i="20"/>
  <c r="P41" i="20"/>
  <c r="H41" i="20"/>
  <c r="S50" i="20"/>
  <c r="K50" i="20"/>
  <c r="R57" i="20"/>
  <c r="J57" i="20"/>
  <c r="E57" i="20"/>
  <c r="Q28" i="16"/>
  <c r="I28" i="16"/>
  <c r="C28" i="16"/>
  <c r="P40" i="16"/>
  <c r="H40" i="16"/>
  <c r="S54" i="16"/>
  <c r="K54" i="16"/>
  <c r="R66" i="16"/>
  <c r="J66" i="16"/>
  <c r="E66" i="16"/>
  <c r="Q77" i="16"/>
  <c r="I77" i="16"/>
  <c r="C77" i="16"/>
  <c r="P87" i="16"/>
  <c r="H87" i="16"/>
  <c r="S21" i="14"/>
  <c r="K21" i="14"/>
  <c r="G21" i="14"/>
  <c r="R31" i="14"/>
  <c r="E31" i="14"/>
  <c r="Q45" i="14"/>
  <c r="C45" i="14"/>
  <c r="I9" i="20"/>
  <c r="Q21" i="21"/>
  <c r="I21" i="21"/>
  <c r="C21" i="21"/>
  <c r="P35" i="21"/>
  <c r="H35" i="21"/>
  <c r="S48" i="21"/>
  <c r="K48" i="21"/>
  <c r="R25" i="1"/>
  <c r="J25" i="1"/>
  <c r="E25" i="1"/>
  <c r="Q33" i="1"/>
  <c r="I33" i="1"/>
  <c r="C33" i="1"/>
  <c r="P48" i="1"/>
  <c r="H48" i="1"/>
  <c r="S57" i="1"/>
  <c r="K57" i="1"/>
  <c r="R64" i="1"/>
  <c r="J64" i="1"/>
  <c r="E64" i="1"/>
  <c r="Q23" i="10"/>
  <c r="I23" i="10"/>
  <c r="C23" i="10"/>
  <c r="P32" i="10"/>
  <c r="H32" i="10"/>
  <c r="S43" i="10"/>
  <c r="K43" i="10"/>
  <c r="R54" i="10"/>
  <c r="J54" i="10"/>
  <c r="E54" i="10"/>
  <c r="Q23" i="17"/>
  <c r="I23" i="17"/>
  <c r="C23" i="17"/>
  <c r="P30" i="17"/>
  <c r="H30" i="17"/>
  <c r="S42" i="17"/>
  <c r="K42" i="17"/>
  <c r="R53" i="17"/>
  <c r="J53" i="17"/>
  <c r="E53" i="17"/>
  <c r="Q25" i="18"/>
  <c r="I25" i="18"/>
  <c r="C25" i="18"/>
  <c r="P33" i="18"/>
  <c r="H33" i="18"/>
  <c r="S44" i="18"/>
  <c r="K44" i="18"/>
  <c r="R57" i="18"/>
  <c r="J57" i="18"/>
  <c r="E57" i="18"/>
  <c r="Q76" i="18"/>
  <c r="I76" i="18"/>
  <c r="C76" i="18"/>
  <c r="S28" i="19"/>
  <c r="K28" i="19"/>
  <c r="R41" i="19"/>
  <c r="J41" i="19"/>
  <c r="E41" i="19"/>
  <c r="Q25" i="20"/>
  <c r="I25" i="20"/>
  <c r="C25" i="20"/>
  <c r="P33" i="20"/>
  <c r="H33" i="20"/>
  <c r="S41" i="20"/>
  <c r="K41" i="20"/>
  <c r="R50" i="20"/>
  <c r="J50" i="20"/>
  <c r="E50" i="20"/>
  <c r="Q57" i="20"/>
  <c r="I57" i="20"/>
  <c r="C57" i="20"/>
  <c r="P28" i="16"/>
  <c r="H28" i="16"/>
  <c r="S40" i="16"/>
  <c r="K40" i="16"/>
  <c r="R54" i="16"/>
  <c r="J54" i="16"/>
  <c r="E54" i="16"/>
  <c r="Q66" i="16"/>
  <c r="I66" i="16"/>
  <c r="C66" i="16"/>
  <c r="P77" i="16"/>
  <c r="H77" i="16"/>
  <c r="S87" i="16"/>
  <c r="K87" i="16"/>
  <c r="R21" i="14"/>
  <c r="J21" i="14"/>
  <c r="E21" i="14"/>
  <c r="Q31" i="14"/>
  <c r="C31" i="14"/>
  <c r="P45" i="14"/>
  <c r="K21" i="12"/>
  <c r="I9" i="16"/>
  <c r="I7" i="20"/>
  <c r="I9" i="19"/>
  <c r="I7" i="18"/>
  <c r="I3" i="17"/>
  <c r="I9" i="1"/>
  <c r="K63" i="8"/>
  <c r="K55" i="8"/>
  <c r="K47" i="8"/>
  <c r="K36" i="8"/>
  <c r="K25" i="8"/>
  <c r="Q46" i="12"/>
  <c r="Q32" i="12"/>
  <c r="R21" i="12"/>
  <c r="I9" i="12"/>
  <c r="S17" i="6"/>
  <c r="I7" i="19"/>
  <c r="I9" i="10"/>
  <c r="I7" i="1"/>
  <c r="I3" i="21"/>
  <c r="J63" i="8"/>
  <c r="J55" i="8"/>
  <c r="J47" i="8"/>
  <c r="J36" i="8"/>
  <c r="J25" i="8"/>
  <c r="P46" i="12"/>
  <c r="P32" i="12"/>
  <c r="S21" i="12"/>
  <c r="R17" i="6"/>
  <c r="I9" i="17"/>
  <c r="I7" i="10"/>
  <c r="I3" i="1"/>
  <c r="P17" i="6"/>
  <c r="I63" i="8"/>
  <c r="I55" i="8"/>
  <c r="I47" i="8"/>
  <c r="I36" i="8"/>
  <c r="I25" i="8"/>
  <c r="I9" i="8"/>
  <c r="S46" i="12"/>
  <c r="S32" i="12"/>
  <c r="P21" i="12"/>
  <c r="J21" i="12"/>
  <c r="U17" i="6"/>
  <c r="Q17" i="6"/>
  <c r="T17" i="6"/>
  <c r="I9" i="18"/>
  <c r="I7" i="17"/>
  <c r="I3" i="10"/>
  <c r="I21" i="12"/>
  <c r="H63" i="8"/>
  <c r="H55" i="8"/>
  <c r="H47" i="8"/>
  <c r="H36" i="8"/>
  <c r="H25" i="8"/>
  <c r="I7" i="8"/>
  <c r="R46" i="12"/>
  <c r="R32" i="12"/>
  <c r="Q21" i="12"/>
  <c r="H21" i="12"/>
  <c r="E55" i="8"/>
  <c r="C47" i="8"/>
  <c r="G25" i="8"/>
  <c r="H3" i="10"/>
  <c r="E36" i="8"/>
  <c r="C25" i="8"/>
  <c r="H3" i="21"/>
  <c r="I3" i="12"/>
  <c r="C36" i="8"/>
  <c r="E63" i="8"/>
  <c r="C55" i="8"/>
  <c r="E25" i="8"/>
  <c r="H3" i="1"/>
  <c r="I3" i="8"/>
  <c r="H3" i="6"/>
  <c r="H3" i="17"/>
  <c r="C63" i="8"/>
  <c r="E47" i="8"/>
  <c r="E23" i="12"/>
  <c r="D5" i="38"/>
  <c r="D6" i="38"/>
  <c r="G21" i="12"/>
  <c r="E32" i="12"/>
  <c r="E34" i="12"/>
  <c r="E36" i="12"/>
  <c r="E38" i="12"/>
  <c r="E40" i="12"/>
  <c r="E42" i="12"/>
  <c r="D16" i="12"/>
  <c r="E49" i="12"/>
  <c r="E53" i="12"/>
  <c r="C15" i="12"/>
  <c r="E35" i="12"/>
  <c r="E39" i="12"/>
  <c r="E43" i="12"/>
  <c r="E25" i="12"/>
  <c r="E29" i="12"/>
  <c r="E48" i="12"/>
  <c r="E52" i="12"/>
  <c r="E22" i="12"/>
  <c r="E24" i="12"/>
  <c r="E26" i="12"/>
  <c r="E28" i="12"/>
  <c r="D14" i="12"/>
  <c r="C17" i="12"/>
  <c r="E47" i="12"/>
  <c r="E51" i="12"/>
  <c r="C21" i="12"/>
  <c r="E33" i="12"/>
  <c r="E37" i="12"/>
  <c r="E41" i="12"/>
  <c r="C46" i="12"/>
  <c r="E21" i="12"/>
  <c r="E27" i="12"/>
  <c r="C32" i="12"/>
  <c r="E46" i="12"/>
  <c r="E50" i="12"/>
  <c r="E54" i="12"/>
  <c r="S2" i="5"/>
  <c r="G15" i="34"/>
  <c r="D41" i="34"/>
  <c r="D36" i="34"/>
  <c r="D32" i="34"/>
  <c r="D28" i="34"/>
  <c r="D20" i="34"/>
  <c r="D42" i="34"/>
  <c r="D23" i="34"/>
  <c r="D44" i="34"/>
  <c r="D40" i="34"/>
  <c r="D35" i="34"/>
  <c r="D31" i="34"/>
  <c r="D25" i="34"/>
  <c r="D22" i="34"/>
  <c r="G35" i="34"/>
  <c r="D27" i="34"/>
  <c r="D43" i="34"/>
  <c r="D38" i="34"/>
  <c r="D34" i="34"/>
  <c r="D30" i="34"/>
  <c r="D24" i="34"/>
  <c r="D19" i="34"/>
  <c r="D37" i="34"/>
  <c r="D29" i="34"/>
  <c r="E26" i="8"/>
  <c r="E51" i="16"/>
  <c r="E49" i="16"/>
  <c r="E47" i="16"/>
  <c r="E45" i="16"/>
  <c r="E38" i="16"/>
  <c r="E48" i="20"/>
  <c r="E28" i="17"/>
  <c r="E45" i="1"/>
  <c r="E40" i="1"/>
  <c r="E42" i="1"/>
  <c r="D63" i="1"/>
  <c r="E61" i="1"/>
  <c r="E58" i="1"/>
  <c r="E63" i="16"/>
  <c r="E61" i="16"/>
  <c r="E11" i="1"/>
  <c r="E70" i="1"/>
  <c r="E68" i="1"/>
  <c r="E66" i="1"/>
  <c r="D56" i="1"/>
  <c r="E45" i="8"/>
  <c r="E43" i="8"/>
  <c r="E33" i="8"/>
  <c r="E52" i="16"/>
  <c r="E50" i="16"/>
  <c r="E48" i="16"/>
  <c r="E46" i="16"/>
  <c r="E44" i="16"/>
  <c r="E85" i="16"/>
  <c r="E12" i="16"/>
  <c r="E10" i="1"/>
  <c r="E46" i="1"/>
  <c r="E39" i="1"/>
  <c r="E41" i="1"/>
  <c r="E43" i="1"/>
  <c r="E62" i="1"/>
  <c r="E60" i="1"/>
  <c r="E64" i="16"/>
  <c r="E62" i="16"/>
  <c r="E60" i="16"/>
  <c r="E71" i="1"/>
  <c r="E69" i="1"/>
  <c r="E67" i="1"/>
  <c r="E44" i="8"/>
  <c r="E34" i="8"/>
  <c r="E32" i="8"/>
  <c r="E44" i="1"/>
  <c r="E59" i="1"/>
  <c r="E73" i="18"/>
  <c r="E67" i="18"/>
  <c r="E11" i="18"/>
  <c r="E74" i="18"/>
  <c r="E72" i="18"/>
  <c r="E70" i="18"/>
  <c r="E68" i="18"/>
  <c r="E66" i="18"/>
  <c r="E10" i="10"/>
  <c r="E71" i="18"/>
  <c r="E55" i="18"/>
  <c r="E69" i="18"/>
  <c r="E65" i="18"/>
  <c r="E41" i="10"/>
  <c r="E51" i="10"/>
  <c r="E52" i="10"/>
  <c r="E50" i="10"/>
  <c r="E48" i="10"/>
  <c r="E46" i="10"/>
  <c r="E44" i="10"/>
  <c r="E64" i="18"/>
  <c r="E62" i="18"/>
  <c r="E60" i="18"/>
  <c r="E35" i="1"/>
  <c r="D56" i="18"/>
  <c r="E38" i="1"/>
  <c r="E75" i="16"/>
  <c r="E83" i="16"/>
  <c r="E81" i="16"/>
  <c r="E79" i="16"/>
  <c r="D76" i="16"/>
  <c r="E58" i="18"/>
  <c r="E37" i="1"/>
  <c r="E59" i="18"/>
  <c r="E36" i="1"/>
  <c r="E74" i="16"/>
  <c r="E49" i="10"/>
  <c r="E47" i="10"/>
  <c r="E45" i="10"/>
  <c r="D42" i="10"/>
  <c r="E84" i="16"/>
  <c r="E82" i="16"/>
  <c r="E80" i="16"/>
  <c r="E78" i="16"/>
  <c r="E61" i="18"/>
  <c r="E55" i="16"/>
  <c r="E63" i="18"/>
  <c r="E34" i="1"/>
  <c r="E42" i="8"/>
  <c r="C9" i="13"/>
  <c r="C8" i="13"/>
  <c r="D5" i="34"/>
  <c r="D4" i="34"/>
  <c r="D28" i="6"/>
  <c r="G38" i="34"/>
  <c r="G31" i="34"/>
  <c r="G25" i="34"/>
  <c r="G20" i="34"/>
  <c r="G13" i="34"/>
  <c r="D13" i="34"/>
  <c r="G37" i="34"/>
  <c r="G10" i="34"/>
  <c r="T2" i="5"/>
  <c r="G26" i="34"/>
  <c r="D12" i="1"/>
  <c r="G34" i="34"/>
  <c r="G30" i="34"/>
  <c r="G24" i="34"/>
  <c r="G19" i="34"/>
  <c r="G12" i="34"/>
  <c r="D18" i="34"/>
  <c r="D12" i="34"/>
  <c r="G29" i="34"/>
  <c r="G32" i="34"/>
  <c r="G14" i="34"/>
  <c r="G40" i="34"/>
  <c r="G33" i="34"/>
  <c r="G27" i="34"/>
  <c r="G23" i="34"/>
  <c r="G18" i="34"/>
  <c r="G11" i="34"/>
  <c r="D17" i="34"/>
  <c r="D11" i="34"/>
  <c r="G22" i="34"/>
  <c r="D10" i="34"/>
  <c r="G39" i="34"/>
  <c r="D16" i="34"/>
  <c r="G17" i="34"/>
  <c r="U2" i="5"/>
  <c r="C4" i="12"/>
  <c r="D44" i="6"/>
  <c r="D37" i="6"/>
  <c r="D35" i="6"/>
  <c r="D26" i="6"/>
  <c r="D29" i="6"/>
  <c r="D13" i="6"/>
  <c r="D17" i="6"/>
  <c r="D12" i="6"/>
  <c r="D11" i="6"/>
  <c r="E49" i="14"/>
  <c r="H167" i="39"/>
  <c r="H225" i="5"/>
  <c r="H302" i="39"/>
  <c r="H171" i="39"/>
  <c r="H226" i="5"/>
  <c r="J301" i="39"/>
  <c r="L303" i="39"/>
  <c r="H91" i="5"/>
  <c r="L306" i="39"/>
  <c r="H165" i="39"/>
  <c r="I303" i="39"/>
  <c r="L301" i="39"/>
  <c r="H306" i="39"/>
  <c r="H92" i="5"/>
  <c r="L304" i="39"/>
  <c r="H228" i="5"/>
  <c r="H166" i="39"/>
  <c r="K303" i="39"/>
  <c r="I301" i="39"/>
  <c r="H305" i="39"/>
  <c r="H169" i="39"/>
  <c r="H93" i="5"/>
  <c r="H229" i="5"/>
  <c r="L305" i="39"/>
  <c r="H88" i="5"/>
  <c r="H164" i="39"/>
  <c r="H90" i="5"/>
  <c r="H89" i="5"/>
  <c r="J302" i="39"/>
  <c r="J306" i="39"/>
  <c r="H303" i="39"/>
  <c r="K305" i="39"/>
  <c r="J305" i="39"/>
  <c r="I305" i="39"/>
  <c r="H227" i="5"/>
  <c r="I302" i="39"/>
  <c r="H86" i="5"/>
  <c r="H163" i="39"/>
  <c r="H170" i="39"/>
  <c r="H87" i="5"/>
  <c r="K306" i="39"/>
  <c r="H301" i="39"/>
  <c r="I306" i="39"/>
  <c r="H224" i="5"/>
  <c r="H94" i="5"/>
  <c r="J304" i="39"/>
  <c r="H304" i="39"/>
  <c r="I304" i="39"/>
  <c r="L302" i="39"/>
  <c r="H168" i="39"/>
  <c r="K302" i="39"/>
  <c r="P22" i="21" l="1"/>
  <c r="P22" i="14"/>
  <c r="P23" i="14"/>
  <c r="O25" i="14"/>
  <c r="B303" i="58"/>
  <c r="E306" i="39"/>
  <c r="E302" i="39"/>
  <c r="B299" i="58"/>
  <c r="E304" i="39"/>
  <c r="B301" i="58"/>
  <c r="E305" i="39"/>
  <c r="B302" i="58"/>
  <c r="E301" i="39"/>
  <c r="B298" i="58"/>
  <c r="E303" i="39"/>
  <c r="B300" i="58"/>
  <c r="B167" i="58"/>
  <c r="E170" i="39"/>
  <c r="E169" i="39"/>
  <c r="B166" i="58"/>
  <c r="E164" i="39"/>
  <c r="B161" i="58"/>
  <c r="E167" i="39"/>
  <c r="B164" i="58"/>
  <c r="E163" i="39"/>
  <c r="B160" i="58"/>
  <c r="E168" i="39"/>
  <c r="B165" i="58"/>
  <c r="E166" i="39"/>
  <c r="B163" i="58"/>
  <c r="E165" i="39"/>
  <c r="B162" i="58"/>
  <c r="E171" i="39"/>
  <c r="B168" i="58"/>
  <c r="O52" i="14"/>
  <c r="O48" i="14"/>
  <c r="O28" i="14"/>
  <c r="O24" i="14"/>
  <c r="O51" i="14"/>
  <c r="O47" i="14"/>
  <c r="O43" i="14"/>
  <c r="O41" i="14"/>
  <c r="O40" i="14"/>
  <c r="O37" i="14"/>
  <c r="O36" i="14"/>
  <c r="O50" i="14"/>
  <c r="O49" i="14"/>
  <c r="O33" i="14"/>
  <c r="O32" i="14"/>
  <c r="O39" i="14"/>
  <c r="O42" i="14"/>
  <c r="O27" i="14"/>
  <c r="O26" i="14"/>
  <c r="O22" i="19"/>
  <c r="O35" i="14"/>
  <c r="O38" i="14"/>
  <c r="O23" i="14"/>
  <c r="O22" i="14"/>
  <c r="O52" i="16"/>
  <c r="O29" i="14"/>
  <c r="O34" i="14"/>
  <c r="P57" i="10"/>
  <c r="R28" i="1"/>
  <c r="P29" i="8"/>
  <c r="P23" i="21"/>
  <c r="Q29" i="1"/>
  <c r="Q48" i="10"/>
  <c r="P26" i="21"/>
  <c r="P26" i="8"/>
  <c r="P28" i="1"/>
  <c r="R30" i="21"/>
  <c r="P26" i="17"/>
  <c r="P22" i="19"/>
  <c r="S22" i="19"/>
  <c r="Q22" i="19"/>
  <c r="R22" i="19"/>
  <c r="P24" i="10"/>
  <c r="R24" i="10"/>
  <c r="Q24" i="10"/>
  <c r="S24" i="10"/>
  <c r="P22" i="12"/>
  <c r="P54" i="12"/>
  <c r="P53" i="12"/>
  <c r="P52" i="12"/>
  <c r="P51" i="12"/>
  <c r="P50" i="12"/>
  <c r="P49" i="12"/>
  <c r="P48" i="12"/>
  <c r="P47" i="12"/>
  <c r="P43" i="12"/>
  <c r="P42" i="12"/>
  <c r="P41" i="12"/>
  <c r="P40" i="12"/>
  <c r="P39" i="12"/>
  <c r="P38" i="12"/>
  <c r="P37" i="12"/>
  <c r="P36" i="12"/>
  <c r="P35" i="12"/>
  <c r="P34" i="12"/>
  <c r="P33" i="12"/>
  <c r="P29" i="12"/>
  <c r="P28" i="12"/>
  <c r="P27" i="12"/>
  <c r="P26" i="12"/>
  <c r="P25" i="12"/>
  <c r="P24" i="12"/>
  <c r="P23" i="12"/>
  <c r="S70" i="8"/>
  <c r="S69" i="8"/>
  <c r="S68" i="8"/>
  <c r="S67" i="8"/>
  <c r="S66" i="8"/>
  <c r="S65" i="8"/>
  <c r="S61" i="8"/>
  <c r="S60" i="8"/>
  <c r="S59" i="8"/>
  <c r="S58" i="8"/>
  <c r="S57" i="8"/>
  <c r="S56" i="8"/>
  <c r="S53" i="8"/>
  <c r="S52" i="8"/>
  <c r="S51" i="8"/>
  <c r="S50" i="8"/>
  <c r="S49" i="8"/>
  <c r="S48" i="8"/>
  <c r="S45" i="8"/>
  <c r="S44" i="8"/>
  <c r="S43" i="8"/>
  <c r="S42" i="8"/>
  <c r="S41" i="8"/>
  <c r="S40" i="8"/>
  <c r="S39" i="8"/>
  <c r="S38" i="8"/>
  <c r="S37" i="8"/>
  <c r="S34" i="8"/>
  <c r="S33" i="8"/>
  <c r="S32" i="8"/>
  <c r="S31" i="8"/>
  <c r="S30" i="8"/>
  <c r="S29" i="8"/>
  <c r="R28" i="8"/>
  <c r="R27" i="8"/>
  <c r="R26" i="8"/>
  <c r="Q55" i="21"/>
  <c r="Q54" i="21"/>
  <c r="Q53" i="21"/>
  <c r="Q52" i="21"/>
  <c r="Q51" i="21"/>
  <c r="Q50" i="21"/>
  <c r="Q46" i="21"/>
  <c r="Q45" i="21"/>
  <c r="Q44" i="21"/>
  <c r="Q43" i="21"/>
  <c r="Q42" i="21"/>
  <c r="Q41" i="21"/>
  <c r="Q40" i="21"/>
  <c r="Q39" i="21"/>
  <c r="Q38" i="21"/>
  <c r="Q37" i="21"/>
  <c r="Q36" i="21"/>
  <c r="Q33" i="21"/>
  <c r="Q32" i="21"/>
  <c r="Q31" i="21"/>
  <c r="P30" i="21"/>
  <c r="P29" i="21"/>
  <c r="S54" i="12"/>
  <c r="S53" i="12"/>
  <c r="S52" i="12"/>
  <c r="S51" i="12"/>
  <c r="S50" i="12"/>
  <c r="S49" i="12"/>
  <c r="S48" i="12"/>
  <c r="S47" i="12"/>
  <c r="S43" i="12"/>
  <c r="S42" i="12"/>
  <c r="S41" i="12"/>
  <c r="S40" i="12"/>
  <c r="S39" i="12"/>
  <c r="S38" i="12"/>
  <c r="S37" i="12"/>
  <c r="S36" i="12"/>
  <c r="S35" i="12"/>
  <c r="S34" i="12"/>
  <c r="S33" i="12"/>
  <c r="S29" i="12"/>
  <c r="S28" i="12"/>
  <c r="S27" i="12"/>
  <c r="S26" i="12"/>
  <c r="S25" i="12"/>
  <c r="S24" i="12"/>
  <c r="S23" i="12"/>
  <c r="S22" i="12"/>
  <c r="R70" i="8"/>
  <c r="R69" i="8"/>
  <c r="R68" i="8"/>
  <c r="R67" i="8"/>
  <c r="R66" i="8"/>
  <c r="R65" i="8"/>
  <c r="R61" i="8"/>
  <c r="R60" i="8"/>
  <c r="R59" i="8"/>
  <c r="R58" i="8"/>
  <c r="R57" i="8"/>
  <c r="R56" i="8"/>
  <c r="R53" i="8"/>
  <c r="R52" i="8"/>
  <c r="R51" i="8"/>
  <c r="R50" i="8"/>
  <c r="R49" i="8"/>
  <c r="R48" i="8"/>
  <c r="R45" i="8"/>
  <c r="R44" i="8"/>
  <c r="R43" i="8"/>
  <c r="R42" i="8"/>
  <c r="R41" i="8"/>
  <c r="R40" i="8"/>
  <c r="R39" i="8"/>
  <c r="R38" i="8"/>
  <c r="R37" i="8"/>
  <c r="R34" i="8"/>
  <c r="R33" i="8"/>
  <c r="R32" i="8"/>
  <c r="R31" i="8"/>
  <c r="R30" i="8"/>
  <c r="R29" i="8"/>
  <c r="Q28" i="8"/>
  <c r="Q27" i="8"/>
  <c r="Q26" i="8"/>
  <c r="P55" i="21"/>
  <c r="P54" i="21"/>
  <c r="P53" i="21"/>
  <c r="P52" i="21"/>
  <c r="P51" i="21"/>
  <c r="P50" i="21"/>
  <c r="P46" i="21"/>
  <c r="P45" i="21"/>
  <c r="P44" i="21"/>
  <c r="P43" i="21"/>
  <c r="P42" i="21"/>
  <c r="P41" i="21"/>
  <c r="P40" i="21"/>
  <c r="P39" i="21"/>
  <c r="P38" i="21"/>
  <c r="P37" i="21"/>
  <c r="P36" i="21"/>
  <c r="P33" i="21"/>
  <c r="P32" i="21"/>
  <c r="P31" i="21"/>
  <c r="S29" i="21"/>
  <c r="S28" i="21"/>
  <c r="R54" i="12"/>
  <c r="R53" i="12"/>
  <c r="R52" i="12"/>
  <c r="R51" i="12"/>
  <c r="R50" i="12"/>
  <c r="R49" i="12"/>
  <c r="R48" i="12"/>
  <c r="R47" i="12"/>
  <c r="R43" i="12"/>
  <c r="R42" i="12"/>
  <c r="R41" i="12"/>
  <c r="R40" i="12"/>
  <c r="R39" i="12"/>
  <c r="R38" i="12"/>
  <c r="R37" i="12"/>
  <c r="R36" i="12"/>
  <c r="R35" i="12"/>
  <c r="R34" i="12"/>
  <c r="R33" i="12"/>
  <c r="R29" i="12"/>
  <c r="R28" i="12"/>
  <c r="R27" i="12"/>
  <c r="R26" i="12"/>
  <c r="R25" i="12"/>
  <c r="R24" i="12"/>
  <c r="R23" i="12"/>
  <c r="R22" i="12"/>
  <c r="Q70" i="8"/>
  <c r="Q69" i="8"/>
  <c r="Q68" i="8"/>
  <c r="Q67" i="8"/>
  <c r="Q66" i="8"/>
  <c r="Q65" i="8"/>
  <c r="Q61" i="8"/>
  <c r="Q60" i="8"/>
  <c r="Q59" i="8"/>
  <c r="Q58" i="8"/>
  <c r="Q57" i="8"/>
  <c r="Q56" i="8"/>
  <c r="Q53" i="8"/>
  <c r="Q52" i="8"/>
  <c r="Q51" i="8"/>
  <c r="Q50" i="8"/>
  <c r="Q49" i="8"/>
  <c r="Q48" i="8"/>
  <c r="Q45" i="8"/>
  <c r="Q44" i="8"/>
  <c r="Q43" i="8"/>
  <c r="Q42" i="8"/>
  <c r="Q41" i="8"/>
  <c r="Q40" i="8"/>
  <c r="Q39" i="8"/>
  <c r="Q38" i="8"/>
  <c r="Q37" i="8"/>
  <c r="Q34" i="8"/>
  <c r="Q33" i="8"/>
  <c r="Q32" i="8"/>
  <c r="Q31" i="8"/>
  <c r="Q30" i="8"/>
  <c r="Q29" i="8"/>
  <c r="P28" i="8"/>
  <c r="P27" i="8"/>
  <c r="S55" i="21"/>
  <c r="S54" i="21"/>
  <c r="S53" i="21"/>
  <c r="S52" i="21"/>
  <c r="Q54" i="12"/>
  <c r="Q53" i="12"/>
  <c r="Q52" i="12"/>
  <c r="Q51" i="12"/>
  <c r="Q50" i="12"/>
  <c r="Q49" i="12"/>
  <c r="Q48" i="12"/>
  <c r="Q47" i="12"/>
  <c r="Q43" i="12"/>
  <c r="Q42" i="12"/>
  <c r="Q41" i="12"/>
  <c r="Q40" i="12"/>
  <c r="Q39" i="12"/>
  <c r="Q38" i="12"/>
  <c r="Q37" i="12"/>
  <c r="Q36" i="12"/>
  <c r="Q35" i="12"/>
  <c r="Q34" i="12"/>
  <c r="Q33" i="12"/>
  <c r="Q29" i="12"/>
  <c r="Q28" i="12"/>
  <c r="Q27" i="12"/>
  <c r="Q26" i="12"/>
  <c r="Q25" i="12"/>
  <c r="Q24" i="12"/>
  <c r="Q23" i="12"/>
  <c r="Q22" i="12"/>
  <c r="P70" i="8"/>
  <c r="P69" i="8"/>
  <c r="P68" i="8"/>
  <c r="P67" i="8"/>
  <c r="P66" i="8"/>
  <c r="P59" i="8"/>
  <c r="P53" i="8"/>
  <c r="P49" i="8"/>
  <c r="P43" i="8"/>
  <c r="P39" i="8"/>
  <c r="P33" i="8"/>
  <c r="S28" i="8"/>
  <c r="R54" i="21"/>
  <c r="R51" i="21"/>
  <c r="R46" i="21"/>
  <c r="R44" i="21"/>
  <c r="R42" i="21"/>
  <c r="R40" i="21"/>
  <c r="R38" i="21"/>
  <c r="R36" i="21"/>
  <c r="R32" i="21"/>
  <c r="Q30" i="21"/>
  <c r="Q28" i="21"/>
  <c r="Q27" i="21"/>
  <c r="Q26" i="21"/>
  <c r="P25" i="21"/>
  <c r="P24" i="21"/>
  <c r="S22" i="21"/>
  <c r="S71" i="1"/>
  <c r="S70" i="1"/>
  <c r="S69" i="1"/>
  <c r="S68" i="1"/>
  <c r="S67" i="1"/>
  <c r="S66" i="1"/>
  <c r="S62" i="1"/>
  <c r="S61" i="1"/>
  <c r="S60" i="1"/>
  <c r="S59" i="1"/>
  <c r="S58" i="1"/>
  <c r="S55" i="1"/>
  <c r="S54" i="1"/>
  <c r="S53" i="1"/>
  <c r="S52" i="1"/>
  <c r="S51" i="1"/>
  <c r="S50" i="1"/>
  <c r="S49" i="1"/>
  <c r="S46" i="1"/>
  <c r="S45" i="1"/>
  <c r="S44" i="1"/>
  <c r="S43" i="1"/>
  <c r="S42" i="1"/>
  <c r="S41" i="1"/>
  <c r="S40" i="1"/>
  <c r="S39" i="1"/>
  <c r="S38" i="1"/>
  <c r="S37" i="1"/>
  <c r="S36" i="1"/>
  <c r="S35" i="1"/>
  <c r="S34" i="1"/>
  <c r="S31" i="1"/>
  <c r="S30" i="1"/>
  <c r="S29" i="1"/>
  <c r="Q28" i="1"/>
  <c r="P27" i="1"/>
  <c r="P26" i="1"/>
  <c r="P60" i="17"/>
  <c r="P59" i="17"/>
  <c r="P58" i="17"/>
  <c r="P57" i="17"/>
  <c r="P56" i="17"/>
  <c r="P55" i="17"/>
  <c r="P51" i="17"/>
  <c r="P50" i="17"/>
  <c r="P49" i="17"/>
  <c r="P48" i="17"/>
  <c r="P47" i="17"/>
  <c r="P46" i="17"/>
  <c r="P45" i="17"/>
  <c r="P44" i="17"/>
  <c r="P40" i="17"/>
  <c r="P39" i="17"/>
  <c r="P38" i="17"/>
  <c r="P37" i="17"/>
  <c r="P36" i="17"/>
  <c r="P35" i="17"/>
  <c r="P34" i="17"/>
  <c r="P33" i="17"/>
  <c r="P32" i="17"/>
  <c r="P31" i="17"/>
  <c r="P28" i="17"/>
  <c r="P65" i="8"/>
  <c r="P58" i="8"/>
  <c r="P52" i="8"/>
  <c r="P48" i="8"/>
  <c r="P42" i="8"/>
  <c r="P38" i="8"/>
  <c r="P32" i="8"/>
  <c r="S27" i="8"/>
  <c r="R53" i="21"/>
  <c r="S50" i="21"/>
  <c r="S45" i="21"/>
  <c r="S43" i="21"/>
  <c r="S41" i="21"/>
  <c r="S39" i="21"/>
  <c r="S37" i="21"/>
  <c r="S33" i="21"/>
  <c r="S31" i="21"/>
  <c r="R29" i="21"/>
  <c r="P28" i="21"/>
  <c r="P27" i="21"/>
  <c r="S25" i="21"/>
  <c r="S24" i="21"/>
  <c r="S23" i="21"/>
  <c r="R22" i="21"/>
  <c r="R71" i="1"/>
  <c r="R70" i="1"/>
  <c r="R69" i="1"/>
  <c r="R68" i="1"/>
  <c r="R67" i="1"/>
  <c r="R66" i="1"/>
  <c r="R62" i="1"/>
  <c r="R61" i="1"/>
  <c r="R60" i="1"/>
  <c r="R59" i="1"/>
  <c r="R58" i="1"/>
  <c r="R55" i="1"/>
  <c r="R54" i="1"/>
  <c r="R53" i="1"/>
  <c r="R52" i="1"/>
  <c r="R51" i="1"/>
  <c r="R50" i="1"/>
  <c r="R49" i="1"/>
  <c r="R46" i="1"/>
  <c r="R45" i="1"/>
  <c r="R44" i="1"/>
  <c r="R43" i="1"/>
  <c r="R42" i="1"/>
  <c r="R41" i="1"/>
  <c r="R40" i="1"/>
  <c r="R39" i="1"/>
  <c r="R38" i="1"/>
  <c r="R37" i="1"/>
  <c r="R36" i="1"/>
  <c r="R35" i="1"/>
  <c r="R34" i="1"/>
  <c r="R31" i="1"/>
  <c r="R30" i="1"/>
  <c r="R29" i="1"/>
  <c r="S27" i="1"/>
  <c r="S26" i="1"/>
  <c r="S60" i="17"/>
  <c r="S59" i="17"/>
  <c r="S58" i="17"/>
  <c r="S57" i="17"/>
  <c r="S56" i="17"/>
  <c r="S55" i="17"/>
  <c r="S51" i="17"/>
  <c r="S50" i="17"/>
  <c r="S49" i="17"/>
  <c r="S48" i="17"/>
  <c r="S47" i="17"/>
  <c r="S46" i="17"/>
  <c r="S45" i="17"/>
  <c r="S44" i="17"/>
  <c r="S40" i="17"/>
  <c r="S39" i="17"/>
  <c r="S38" i="17"/>
  <c r="S37" i="17"/>
  <c r="S36" i="17"/>
  <c r="S35" i="17"/>
  <c r="S34" i="17"/>
  <c r="S33" i="17"/>
  <c r="S32" i="17"/>
  <c r="S31" i="17"/>
  <c r="S28" i="17"/>
  <c r="P61" i="8"/>
  <c r="P57" i="8"/>
  <c r="P51" i="8"/>
  <c r="P45" i="8"/>
  <c r="P41" i="8"/>
  <c r="P37" i="8"/>
  <c r="P31" i="8"/>
  <c r="S26" i="8"/>
  <c r="R52" i="21"/>
  <c r="R50" i="21"/>
  <c r="R45" i="21"/>
  <c r="R43" i="21"/>
  <c r="R41" i="21"/>
  <c r="R39" i="21"/>
  <c r="R37" i="21"/>
  <c r="R33" i="21"/>
  <c r="R31" i="21"/>
  <c r="Q29" i="21"/>
  <c r="S27" i="21"/>
  <c r="S26" i="21"/>
  <c r="R25" i="21"/>
  <c r="R24" i="21"/>
  <c r="R23" i="21"/>
  <c r="Q22" i="21"/>
  <c r="Q71" i="1"/>
  <c r="Q70" i="1"/>
  <c r="Q69" i="1"/>
  <c r="Q68" i="1"/>
  <c r="Q67" i="1"/>
  <c r="Q66" i="1"/>
  <c r="Q62" i="1"/>
  <c r="Q61" i="1"/>
  <c r="Q60" i="1"/>
  <c r="Q59" i="1"/>
  <c r="Q58" i="1"/>
  <c r="Q55" i="1"/>
  <c r="Q54" i="1"/>
  <c r="Q53" i="1"/>
  <c r="Q52" i="1"/>
  <c r="Q51" i="1"/>
  <c r="Q50" i="1"/>
  <c r="Q49" i="1"/>
  <c r="Q46" i="1"/>
  <c r="Q45" i="1"/>
  <c r="Q44" i="1"/>
  <c r="Q43" i="1"/>
  <c r="Q42" i="1"/>
  <c r="Q41" i="1"/>
  <c r="Q40" i="1"/>
  <c r="Q39" i="1"/>
  <c r="Q38" i="1"/>
  <c r="Q37" i="1"/>
  <c r="Q36" i="1"/>
  <c r="Q35" i="1"/>
  <c r="Q34" i="1"/>
  <c r="Q31" i="1"/>
  <c r="Q30" i="1"/>
  <c r="P29" i="1"/>
  <c r="R27" i="1"/>
  <c r="R26" i="1"/>
  <c r="R60" i="17"/>
  <c r="R59" i="17"/>
  <c r="R58" i="17"/>
  <c r="R57" i="17"/>
  <c r="R56" i="17"/>
  <c r="R55" i="17"/>
  <c r="R51" i="17"/>
  <c r="R50" i="17"/>
  <c r="R49" i="17"/>
  <c r="R48" i="17"/>
  <c r="R47" i="17"/>
  <c r="R46" i="17"/>
  <c r="R45" i="17"/>
  <c r="R44" i="17"/>
  <c r="R40" i="17"/>
  <c r="R39" i="17"/>
  <c r="R38" i="17"/>
  <c r="R37" i="17"/>
  <c r="R36" i="17"/>
  <c r="R35" i="17"/>
  <c r="R34" i="17"/>
  <c r="R33" i="17"/>
  <c r="R32" i="17"/>
  <c r="R31" i="17"/>
  <c r="R28" i="17"/>
  <c r="P60" i="8"/>
  <c r="P56" i="8"/>
  <c r="P50" i="8"/>
  <c r="P44" i="8"/>
  <c r="P40" i="8"/>
  <c r="P34" i="8"/>
  <c r="P30" i="8"/>
  <c r="R55" i="21"/>
  <c r="S51" i="21"/>
  <c r="S46" i="21"/>
  <c r="S44" i="21"/>
  <c r="S42" i="21"/>
  <c r="S40" i="21"/>
  <c r="S38" i="21"/>
  <c r="S36" i="21"/>
  <c r="S32" i="21"/>
  <c r="S30" i="21"/>
  <c r="R28" i="21"/>
  <c r="R27" i="21"/>
  <c r="R26" i="21"/>
  <c r="Q25" i="21"/>
  <c r="Q24" i="21"/>
  <c r="Q23" i="21"/>
  <c r="P71" i="1"/>
  <c r="P70" i="1"/>
  <c r="P69" i="1"/>
  <c r="P68" i="1"/>
  <c r="P67" i="1"/>
  <c r="P66" i="1"/>
  <c r="P62" i="1"/>
  <c r="P61" i="1"/>
  <c r="P60" i="1"/>
  <c r="P59" i="1"/>
  <c r="P58" i="1"/>
  <c r="P55" i="1"/>
  <c r="P54" i="1"/>
  <c r="P53" i="1"/>
  <c r="P52" i="1"/>
  <c r="P51" i="1"/>
  <c r="P50" i="1"/>
  <c r="P49" i="1"/>
  <c r="P46" i="1"/>
  <c r="P45" i="1"/>
  <c r="P44" i="1"/>
  <c r="P43" i="1"/>
  <c r="P42" i="1"/>
  <c r="P41" i="1"/>
  <c r="P40" i="1"/>
  <c r="P39" i="1"/>
  <c r="P38" i="1"/>
  <c r="P37" i="1"/>
  <c r="P36" i="1"/>
  <c r="P35" i="1"/>
  <c r="P34" i="1"/>
  <c r="P31" i="1"/>
  <c r="P30" i="1"/>
  <c r="S28" i="1"/>
  <c r="Q27" i="1"/>
  <c r="Q26" i="1"/>
  <c r="Q60" i="17"/>
  <c r="Q59" i="17"/>
  <c r="Q58" i="17"/>
  <c r="Q57" i="17"/>
  <c r="Q56" i="17"/>
  <c r="Q55" i="17"/>
  <c r="Q51" i="17"/>
  <c r="Q50" i="17"/>
  <c r="Q49" i="17"/>
  <c r="Q48" i="17"/>
  <c r="Q47" i="17"/>
  <c r="Q40" i="17"/>
  <c r="Q36" i="17"/>
  <c r="Q32" i="17"/>
  <c r="R27" i="17"/>
  <c r="R26" i="17"/>
  <c r="Q25" i="17"/>
  <c r="Q24" i="17"/>
  <c r="Q83" i="18"/>
  <c r="Q82" i="18"/>
  <c r="Q81" i="18"/>
  <c r="Q80" i="18"/>
  <c r="Q79" i="18"/>
  <c r="Q78" i="18"/>
  <c r="Q74" i="18"/>
  <c r="Q73" i="18"/>
  <c r="Q72" i="18"/>
  <c r="Q71" i="18"/>
  <c r="Q70" i="18"/>
  <c r="Q69" i="18"/>
  <c r="Q68" i="18"/>
  <c r="Q67" i="18"/>
  <c r="Q66" i="18"/>
  <c r="Q65" i="18"/>
  <c r="Q64" i="18"/>
  <c r="Q63" i="18"/>
  <c r="Q62" i="18"/>
  <c r="Q61" i="18"/>
  <c r="Q60" i="18"/>
  <c r="Q59" i="18"/>
  <c r="Q58" i="18"/>
  <c r="Q55" i="18"/>
  <c r="Q54" i="18"/>
  <c r="Q53" i="18"/>
  <c r="Q52" i="18"/>
  <c r="Q51" i="18"/>
  <c r="Q50" i="18"/>
  <c r="Q49" i="18"/>
  <c r="Q48" i="18"/>
  <c r="Q47" i="18"/>
  <c r="Q46" i="18"/>
  <c r="Q45" i="18"/>
  <c r="Q42" i="18"/>
  <c r="Q41" i="18"/>
  <c r="Q40" i="18"/>
  <c r="Q39" i="18"/>
  <c r="Q38" i="18"/>
  <c r="Q37" i="18"/>
  <c r="Q36" i="18"/>
  <c r="Q35" i="18"/>
  <c r="Q34" i="18"/>
  <c r="Q31" i="18"/>
  <c r="Q30" i="18"/>
  <c r="Q29" i="18"/>
  <c r="Q28" i="18"/>
  <c r="Q27" i="18"/>
  <c r="Q26" i="18"/>
  <c r="Q48" i="19"/>
  <c r="Q47" i="19"/>
  <c r="Q46" i="19"/>
  <c r="Q45" i="19"/>
  <c r="Q44" i="19"/>
  <c r="Q43" i="19"/>
  <c r="Q39" i="19"/>
  <c r="Q38" i="19"/>
  <c r="Q37" i="19"/>
  <c r="Q36" i="19"/>
  <c r="Q35" i="19"/>
  <c r="Q34" i="19"/>
  <c r="Q33" i="19"/>
  <c r="Q32" i="19"/>
  <c r="Q31" i="19"/>
  <c r="Q30" i="19"/>
  <c r="Q29" i="19"/>
  <c r="Q26" i="19"/>
  <c r="Q25" i="19"/>
  <c r="Q24" i="19"/>
  <c r="Q23" i="19"/>
  <c r="Q64" i="20"/>
  <c r="Q63" i="20"/>
  <c r="Q62" i="20"/>
  <c r="Q61" i="20"/>
  <c r="Q60" i="20"/>
  <c r="Q59" i="20"/>
  <c r="Q55" i="20"/>
  <c r="Q54" i="20"/>
  <c r="Q53" i="20"/>
  <c r="Q52" i="20"/>
  <c r="Q51" i="20"/>
  <c r="Q48" i="20"/>
  <c r="Q47" i="20"/>
  <c r="Q46" i="20"/>
  <c r="Q45" i="20"/>
  <c r="Q44" i="20"/>
  <c r="Q43" i="20"/>
  <c r="Q42" i="20"/>
  <c r="Q39" i="20"/>
  <c r="Q38" i="20"/>
  <c r="Q37" i="20"/>
  <c r="Q36" i="20"/>
  <c r="Q35" i="20"/>
  <c r="Q34" i="20"/>
  <c r="Q31" i="20"/>
  <c r="Q30" i="20"/>
  <c r="Q29" i="20"/>
  <c r="Q28" i="20"/>
  <c r="Q27" i="20"/>
  <c r="Q26" i="20"/>
  <c r="Q46" i="17"/>
  <c r="Q39" i="17"/>
  <c r="Q35" i="17"/>
  <c r="Q31" i="17"/>
  <c r="Q27" i="17"/>
  <c r="Q26" i="17"/>
  <c r="P25" i="17"/>
  <c r="P24" i="17"/>
  <c r="P83" i="18"/>
  <c r="P82" i="18"/>
  <c r="P81" i="18"/>
  <c r="P80" i="18"/>
  <c r="P79" i="18"/>
  <c r="P78" i="18"/>
  <c r="P74" i="18"/>
  <c r="P73" i="18"/>
  <c r="P72" i="18"/>
  <c r="P71" i="18"/>
  <c r="P70" i="18"/>
  <c r="P69" i="18"/>
  <c r="P68" i="18"/>
  <c r="P67" i="18"/>
  <c r="P66" i="18"/>
  <c r="P65" i="18"/>
  <c r="P64" i="18"/>
  <c r="P63" i="18"/>
  <c r="P62" i="18"/>
  <c r="P61" i="18"/>
  <c r="P60" i="18"/>
  <c r="P59" i="18"/>
  <c r="P58" i="18"/>
  <c r="P55" i="18"/>
  <c r="P54" i="18"/>
  <c r="P53" i="18"/>
  <c r="P52" i="18"/>
  <c r="P51" i="18"/>
  <c r="P50" i="18"/>
  <c r="P49" i="18"/>
  <c r="P48" i="18"/>
  <c r="P47" i="18"/>
  <c r="P46" i="18"/>
  <c r="P45" i="18"/>
  <c r="P42" i="18"/>
  <c r="P41" i="18"/>
  <c r="P40" i="18"/>
  <c r="P39" i="18"/>
  <c r="P38" i="18"/>
  <c r="P37" i="18"/>
  <c r="P36" i="18"/>
  <c r="P35" i="18"/>
  <c r="P34" i="18"/>
  <c r="P31" i="18"/>
  <c r="P30" i="18"/>
  <c r="P29" i="18"/>
  <c r="P28" i="18"/>
  <c r="P27" i="18"/>
  <c r="P26" i="18"/>
  <c r="P48" i="19"/>
  <c r="P47" i="19"/>
  <c r="P46" i="19"/>
  <c r="P45" i="19"/>
  <c r="P44" i="19"/>
  <c r="P43" i="19"/>
  <c r="P39" i="19"/>
  <c r="P38" i="19"/>
  <c r="P37" i="19"/>
  <c r="P36" i="19"/>
  <c r="P35" i="19"/>
  <c r="P34" i="19"/>
  <c r="P33" i="19"/>
  <c r="P32" i="19"/>
  <c r="P31" i="19"/>
  <c r="P30" i="19"/>
  <c r="P29" i="19"/>
  <c r="P26" i="19"/>
  <c r="P25" i="19"/>
  <c r="P24" i="19"/>
  <c r="P23" i="19"/>
  <c r="P64" i="20"/>
  <c r="P63" i="20"/>
  <c r="P62" i="20"/>
  <c r="P61" i="20"/>
  <c r="P60" i="20"/>
  <c r="P59" i="20"/>
  <c r="P55" i="20"/>
  <c r="P54" i="20"/>
  <c r="P53" i="20"/>
  <c r="P52" i="20"/>
  <c r="P51" i="20"/>
  <c r="P48" i="20"/>
  <c r="P47" i="20"/>
  <c r="P46" i="20"/>
  <c r="P45" i="20"/>
  <c r="P44" i="20"/>
  <c r="P43" i="20"/>
  <c r="P42" i="20"/>
  <c r="P39" i="20"/>
  <c r="P38" i="20"/>
  <c r="P37" i="20"/>
  <c r="P36" i="20"/>
  <c r="P35" i="20"/>
  <c r="P34" i="20"/>
  <c r="P31" i="20"/>
  <c r="P30" i="20"/>
  <c r="P29" i="20"/>
  <c r="P28" i="20"/>
  <c r="P27" i="20"/>
  <c r="P26" i="20"/>
  <c r="Q45" i="17"/>
  <c r="Q38" i="17"/>
  <c r="Q34" i="17"/>
  <c r="Q28" i="17"/>
  <c r="P27" i="17"/>
  <c r="S25" i="17"/>
  <c r="S24" i="17"/>
  <c r="S83" i="18"/>
  <c r="S82" i="18"/>
  <c r="S81" i="18"/>
  <c r="S80" i="18"/>
  <c r="S79" i="18"/>
  <c r="S78" i="18"/>
  <c r="S74" i="18"/>
  <c r="S73" i="18"/>
  <c r="S72" i="18"/>
  <c r="S71" i="18"/>
  <c r="S70" i="18"/>
  <c r="S69" i="18"/>
  <c r="S68" i="18"/>
  <c r="S67" i="18"/>
  <c r="S66" i="18"/>
  <c r="S65" i="18"/>
  <c r="S64" i="18"/>
  <c r="S63" i="18"/>
  <c r="S62" i="18"/>
  <c r="S61" i="18"/>
  <c r="S60" i="18"/>
  <c r="S59" i="18"/>
  <c r="S58" i="18"/>
  <c r="S55" i="18"/>
  <c r="S54" i="18"/>
  <c r="S53" i="18"/>
  <c r="S52" i="18"/>
  <c r="S51" i="18"/>
  <c r="S50" i="18"/>
  <c r="S49" i="18"/>
  <c r="S48" i="18"/>
  <c r="S47" i="18"/>
  <c r="S46" i="18"/>
  <c r="S45" i="18"/>
  <c r="S42" i="18"/>
  <c r="S41" i="18"/>
  <c r="S40" i="18"/>
  <c r="S39" i="18"/>
  <c r="S38" i="18"/>
  <c r="S37" i="18"/>
  <c r="S36" i="18"/>
  <c r="S35" i="18"/>
  <c r="S34" i="18"/>
  <c r="S31" i="18"/>
  <c r="S30" i="18"/>
  <c r="S29" i="18"/>
  <c r="S28" i="18"/>
  <c r="S27" i="18"/>
  <c r="S26" i="18"/>
  <c r="S48" i="19"/>
  <c r="S47" i="19"/>
  <c r="S46" i="19"/>
  <c r="S45" i="19"/>
  <c r="S44" i="19"/>
  <c r="S43" i="19"/>
  <c r="S39" i="19"/>
  <c r="S38" i="19"/>
  <c r="S37" i="19"/>
  <c r="S36" i="19"/>
  <c r="S35" i="19"/>
  <c r="S34" i="19"/>
  <c r="S33" i="19"/>
  <c r="S32" i="19"/>
  <c r="S31" i="19"/>
  <c r="S30" i="19"/>
  <c r="S29" i="19"/>
  <c r="S26" i="19"/>
  <c r="S25" i="19"/>
  <c r="S24" i="19"/>
  <c r="S23" i="19"/>
  <c r="S64" i="20"/>
  <c r="S63" i="20"/>
  <c r="S62" i="20"/>
  <c r="S61" i="20"/>
  <c r="S60" i="20"/>
  <c r="S59" i="20"/>
  <c r="S55" i="20"/>
  <c r="S54" i="20"/>
  <c r="S53" i="20"/>
  <c r="S52" i="20"/>
  <c r="S51" i="20"/>
  <c r="S48" i="20"/>
  <c r="S47" i="20"/>
  <c r="S46" i="20"/>
  <c r="S45" i="20"/>
  <c r="S44" i="20"/>
  <c r="S43" i="20"/>
  <c r="S42" i="20"/>
  <c r="Q44" i="17"/>
  <c r="Q37" i="17"/>
  <c r="Q33" i="17"/>
  <c r="S27" i="17"/>
  <c r="S26" i="17"/>
  <c r="R25" i="17"/>
  <c r="R24" i="17"/>
  <c r="R83" i="18"/>
  <c r="R82" i="18"/>
  <c r="R81" i="18"/>
  <c r="R80" i="18"/>
  <c r="R79" i="18"/>
  <c r="R78" i="18"/>
  <c r="R74" i="18"/>
  <c r="R73" i="18"/>
  <c r="R72" i="18"/>
  <c r="R71" i="18"/>
  <c r="R70" i="18"/>
  <c r="R69" i="18"/>
  <c r="R68" i="18"/>
  <c r="R67" i="18"/>
  <c r="R66" i="18"/>
  <c r="R65" i="18"/>
  <c r="R64" i="18"/>
  <c r="R63" i="18"/>
  <c r="R62" i="18"/>
  <c r="R61" i="18"/>
  <c r="R60" i="18"/>
  <c r="R59" i="18"/>
  <c r="R58" i="18"/>
  <c r="R55" i="18"/>
  <c r="R54" i="18"/>
  <c r="R53" i="18"/>
  <c r="R52" i="18"/>
  <c r="R51" i="18"/>
  <c r="R50" i="18"/>
  <c r="R49" i="18"/>
  <c r="R48" i="18"/>
  <c r="R47" i="18"/>
  <c r="R46" i="18"/>
  <c r="R45" i="18"/>
  <c r="R42" i="18"/>
  <c r="R41" i="18"/>
  <c r="R40" i="18"/>
  <c r="R39" i="18"/>
  <c r="R38" i="18"/>
  <c r="R37" i="18"/>
  <c r="R36" i="18"/>
  <c r="R35" i="18"/>
  <c r="R34" i="18"/>
  <c r="R31" i="18"/>
  <c r="R30" i="18"/>
  <c r="R29" i="18"/>
  <c r="R28" i="18"/>
  <c r="R27" i="18"/>
  <c r="R26" i="18"/>
  <c r="R48" i="19"/>
  <c r="R47" i="19"/>
  <c r="R46" i="19"/>
  <c r="R45" i="19"/>
  <c r="R44" i="19"/>
  <c r="R43" i="19"/>
  <c r="R39" i="19"/>
  <c r="R38" i="19"/>
  <c r="R37" i="19"/>
  <c r="R36" i="19"/>
  <c r="R35" i="19"/>
  <c r="R34" i="19"/>
  <c r="R33" i="19"/>
  <c r="R32" i="19"/>
  <c r="R31" i="19"/>
  <c r="R30" i="19"/>
  <c r="R29" i="19"/>
  <c r="R26" i="19"/>
  <c r="R25" i="19"/>
  <c r="R24" i="19"/>
  <c r="R23" i="19"/>
  <c r="R64" i="20"/>
  <c r="R63" i="20"/>
  <c r="R62" i="20"/>
  <c r="R61" i="20"/>
  <c r="R60" i="20"/>
  <c r="R59" i="20"/>
  <c r="R55" i="20"/>
  <c r="R54" i="20"/>
  <c r="R53" i="20"/>
  <c r="R47" i="20"/>
  <c r="R43" i="20"/>
  <c r="S38" i="20"/>
  <c r="S36" i="20"/>
  <c r="S34" i="20"/>
  <c r="S30" i="20"/>
  <c r="S28" i="20"/>
  <c r="S26" i="20"/>
  <c r="Q94" i="16"/>
  <c r="Q93" i="16"/>
  <c r="Q92" i="16"/>
  <c r="Q91" i="16"/>
  <c r="Q90" i="16"/>
  <c r="Q89" i="16"/>
  <c r="Q85" i="16"/>
  <c r="Q84" i="16"/>
  <c r="Q83" i="16"/>
  <c r="Q82" i="16"/>
  <c r="Q81" i="16"/>
  <c r="Q80" i="16"/>
  <c r="Q79" i="16"/>
  <c r="Q78" i="16"/>
  <c r="Q75" i="16"/>
  <c r="Q74" i="16"/>
  <c r="Q73" i="16"/>
  <c r="Q72" i="16"/>
  <c r="Q71" i="16"/>
  <c r="Q70" i="16"/>
  <c r="Q69" i="16"/>
  <c r="Q68" i="16"/>
  <c r="Q64" i="16"/>
  <c r="Q63" i="16"/>
  <c r="Q62" i="16"/>
  <c r="Q61" i="16"/>
  <c r="Q60" i="16"/>
  <c r="Q59" i="16"/>
  <c r="Q58" i="16"/>
  <c r="Q57" i="16"/>
  <c r="Q56" i="16"/>
  <c r="Q55" i="16"/>
  <c r="Q52" i="16"/>
  <c r="Q51" i="16"/>
  <c r="Q50" i="16"/>
  <c r="Q49" i="16"/>
  <c r="Q48" i="16"/>
  <c r="Q47" i="16"/>
  <c r="Q46" i="16"/>
  <c r="Q45" i="16"/>
  <c r="Q44" i="16"/>
  <c r="Q43" i="16"/>
  <c r="Q42" i="16"/>
  <c r="Q41" i="16"/>
  <c r="Q38" i="16"/>
  <c r="Q37" i="16"/>
  <c r="Q36" i="16"/>
  <c r="Q35" i="16"/>
  <c r="Q34" i="16"/>
  <c r="Q33" i="16"/>
  <c r="Q32" i="16"/>
  <c r="Q31" i="16"/>
  <c r="Q30" i="16"/>
  <c r="Q29" i="16"/>
  <c r="Q52" i="14"/>
  <c r="Q51" i="14"/>
  <c r="Q50" i="14"/>
  <c r="Q49" i="14"/>
  <c r="Q48" i="14"/>
  <c r="Q47" i="14"/>
  <c r="Q43" i="14"/>
  <c r="Q42" i="14"/>
  <c r="Q41" i="14"/>
  <c r="Q40" i="14"/>
  <c r="Q39" i="14"/>
  <c r="Q38" i="14"/>
  <c r="Q37" i="14"/>
  <c r="Q36" i="14"/>
  <c r="Q35" i="14"/>
  <c r="Q34" i="14"/>
  <c r="Q33" i="14"/>
  <c r="Q32" i="14"/>
  <c r="Q29" i="14"/>
  <c r="Q28" i="14"/>
  <c r="Q27" i="14"/>
  <c r="Q26" i="14"/>
  <c r="Q25" i="14"/>
  <c r="Q24" i="14"/>
  <c r="Q23" i="14"/>
  <c r="Q22" i="14"/>
  <c r="Q61" i="10"/>
  <c r="Q60" i="10"/>
  <c r="Q59" i="10"/>
  <c r="Q58" i="10"/>
  <c r="Q57" i="10"/>
  <c r="P56" i="10"/>
  <c r="P52" i="10"/>
  <c r="P51" i="10"/>
  <c r="P50" i="10"/>
  <c r="P49" i="10"/>
  <c r="S47" i="10"/>
  <c r="S46" i="10"/>
  <c r="S45" i="10"/>
  <c r="S44" i="10"/>
  <c r="S41" i="10"/>
  <c r="S40" i="10"/>
  <c r="S39" i="10"/>
  <c r="S38" i="10"/>
  <c r="S37" i="10"/>
  <c r="S36" i="10"/>
  <c r="S35" i="10"/>
  <c r="S34" i="10"/>
  <c r="S33" i="10"/>
  <c r="S29" i="10"/>
  <c r="S28" i="10"/>
  <c r="S27" i="10"/>
  <c r="S26" i="10"/>
  <c r="S25" i="10"/>
  <c r="P29" i="10"/>
  <c r="P25" i="10"/>
  <c r="R52" i="20"/>
  <c r="R46" i="20"/>
  <c r="R42" i="20"/>
  <c r="R38" i="20"/>
  <c r="R36" i="20"/>
  <c r="R34" i="20"/>
  <c r="R30" i="20"/>
  <c r="R28" i="20"/>
  <c r="R26" i="20"/>
  <c r="P94" i="16"/>
  <c r="P93" i="16"/>
  <c r="P92" i="16"/>
  <c r="P91" i="16"/>
  <c r="P90" i="16"/>
  <c r="P89" i="16"/>
  <c r="P85" i="16"/>
  <c r="P84" i="16"/>
  <c r="P83" i="16"/>
  <c r="P82" i="16"/>
  <c r="P81" i="16"/>
  <c r="P80" i="16"/>
  <c r="P79" i="16"/>
  <c r="P78" i="16"/>
  <c r="P75" i="16"/>
  <c r="P74" i="16"/>
  <c r="P73" i="16"/>
  <c r="P72" i="16"/>
  <c r="P71" i="16"/>
  <c r="P70" i="16"/>
  <c r="P69" i="16"/>
  <c r="P68" i="16"/>
  <c r="P64" i="16"/>
  <c r="P63" i="16"/>
  <c r="P62" i="16"/>
  <c r="P61" i="16"/>
  <c r="P60" i="16"/>
  <c r="P59" i="16"/>
  <c r="P58" i="16"/>
  <c r="P57" i="16"/>
  <c r="P56" i="16"/>
  <c r="P55" i="16"/>
  <c r="P52" i="16"/>
  <c r="P51" i="16"/>
  <c r="P50" i="16"/>
  <c r="P49" i="16"/>
  <c r="P48" i="16"/>
  <c r="P47" i="16"/>
  <c r="P46" i="16"/>
  <c r="P45" i="16"/>
  <c r="P44" i="16"/>
  <c r="P43" i="16"/>
  <c r="P42" i="16"/>
  <c r="P41" i="16"/>
  <c r="P38" i="16"/>
  <c r="P37" i="16"/>
  <c r="P36" i="16"/>
  <c r="P35" i="16"/>
  <c r="P34" i="16"/>
  <c r="P33" i="16"/>
  <c r="P32" i="16"/>
  <c r="P31" i="16"/>
  <c r="P30" i="16"/>
  <c r="P29" i="16"/>
  <c r="P52" i="14"/>
  <c r="P51" i="14"/>
  <c r="P50" i="14"/>
  <c r="P49" i="14"/>
  <c r="P48" i="14"/>
  <c r="P47" i="14"/>
  <c r="P43" i="14"/>
  <c r="P42" i="14"/>
  <c r="P41" i="14"/>
  <c r="P40" i="14"/>
  <c r="P39" i="14"/>
  <c r="P38" i="14"/>
  <c r="P37" i="14"/>
  <c r="P36" i="14"/>
  <c r="P35" i="14"/>
  <c r="P34" i="14"/>
  <c r="P33" i="14"/>
  <c r="P32" i="14"/>
  <c r="P29" i="14"/>
  <c r="P28" i="14"/>
  <c r="P27" i="14"/>
  <c r="P26" i="14"/>
  <c r="P25" i="14"/>
  <c r="P24" i="14"/>
  <c r="P61" i="10"/>
  <c r="P60" i="10"/>
  <c r="P59" i="10"/>
  <c r="P58" i="10"/>
  <c r="S56" i="10"/>
  <c r="S52" i="10"/>
  <c r="S51" i="10"/>
  <c r="S50" i="10"/>
  <c r="S49" i="10"/>
  <c r="S48" i="10"/>
  <c r="R47" i="10"/>
  <c r="R46" i="10"/>
  <c r="R45" i="10"/>
  <c r="R44" i="10"/>
  <c r="R41" i="10"/>
  <c r="R40" i="10"/>
  <c r="R39" i="10"/>
  <c r="R38" i="10"/>
  <c r="R37" i="10"/>
  <c r="R36" i="10"/>
  <c r="R35" i="10"/>
  <c r="R34" i="10"/>
  <c r="R33" i="10"/>
  <c r="R29" i="10"/>
  <c r="R28" i="10"/>
  <c r="R27" i="10"/>
  <c r="R26" i="10"/>
  <c r="R25" i="10"/>
  <c r="P35" i="10"/>
  <c r="P27" i="10"/>
  <c r="R51" i="20"/>
  <c r="R45" i="20"/>
  <c r="S39" i="20"/>
  <c r="S37" i="20"/>
  <c r="S35" i="20"/>
  <c r="S31" i="20"/>
  <c r="S29" i="20"/>
  <c r="S27" i="20"/>
  <c r="S94" i="16"/>
  <c r="S93" i="16"/>
  <c r="S92" i="16"/>
  <c r="S91" i="16"/>
  <c r="S90" i="16"/>
  <c r="S89" i="16"/>
  <c r="S85" i="16"/>
  <c r="S84" i="16"/>
  <c r="S83" i="16"/>
  <c r="S82" i="16"/>
  <c r="S81" i="16"/>
  <c r="S80" i="16"/>
  <c r="S79" i="16"/>
  <c r="S78" i="16"/>
  <c r="S75" i="16"/>
  <c r="S74" i="16"/>
  <c r="S73" i="16"/>
  <c r="S72" i="16"/>
  <c r="S71" i="16"/>
  <c r="S70" i="16"/>
  <c r="S69" i="16"/>
  <c r="S68" i="16"/>
  <c r="S64" i="16"/>
  <c r="S63" i="16"/>
  <c r="S62" i="16"/>
  <c r="S61" i="16"/>
  <c r="S60" i="16"/>
  <c r="S59" i="16"/>
  <c r="S58" i="16"/>
  <c r="S57" i="16"/>
  <c r="S56" i="16"/>
  <c r="S55" i="16"/>
  <c r="S52" i="16"/>
  <c r="S51" i="16"/>
  <c r="S50" i="16"/>
  <c r="S49" i="16"/>
  <c r="S48" i="16"/>
  <c r="S47" i="16"/>
  <c r="S46" i="16"/>
  <c r="S45" i="16"/>
  <c r="S44" i="16"/>
  <c r="S43" i="16"/>
  <c r="S42" i="16"/>
  <c r="S41" i="16"/>
  <c r="S38" i="16"/>
  <c r="S37" i="16"/>
  <c r="S36" i="16"/>
  <c r="S35" i="16"/>
  <c r="S34" i="16"/>
  <c r="S33" i="16"/>
  <c r="S32" i="16"/>
  <c r="S31" i="16"/>
  <c r="S30" i="16"/>
  <c r="S29" i="16"/>
  <c r="S52" i="14"/>
  <c r="S51" i="14"/>
  <c r="S50" i="14"/>
  <c r="S49" i="14"/>
  <c r="S48" i="14"/>
  <c r="S47" i="14"/>
  <c r="S43" i="14"/>
  <c r="S42" i="14"/>
  <c r="S41" i="14"/>
  <c r="S40" i="14"/>
  <c r="S39" i="14"/>
  <c r="S38" i="14"/>
  <c r="S37" i="14"/>
  <c r="S36" i="14"/>
  <c r="S35" i="14"/>
  <c r="S34" i="14"/>
  <c r="S33" i="14"/>
  <c r="S32" i="14"/>
  <c r="S29" i="14"/>
  <c r="S28" i="14"/>
  <c r="S27" i="14"/>
  <c r="S26" i="14"/>
  <c r="S25" i="14"/>
  <c r="S24" i="14"/>
  <c r="S23" i="14"/>
  <c r="S22" i="14"/>
  <c r="S61" i="10"/>
  <c r="S60" i="10"/>
  <c r="S59" i="10"/>
  <c r="S58" i="10"/>
  <c r="S57" i="10"/>
  <c r="R56" i="10"/>
  <c r="R52" i="10"/>
  <c r="R51" i="10"/>
  <c r="R50" i="10"/>
  <c r="R49" i="10"/>
  <c r="R48" i="10"/>
  <c r="Q47" i="10"/>
  <c r="Q46" i="10"/>
  <c r="Q45" i="10"/>
  <c r="Q44" i="10"/>
  <c r="Q41" i="10"/>
  <c r="Q40" i="10"/>
  <c r="Q39" i="10"/>
  <c r="Q38" i="10"/>
  <c r="Q37" i="10"/>
  <c r="Q36" i="10"/>
  <c r="Q35" i="10"/>
  <c r="Q34" i="10"/>
  <c r="Q33" i="10"/>
  <c r="Q29" i="10"/>
  <c r="Q28" i="10"/>
  <c r="Q27" i="10"/>
  <c r="Q26" i="10"/>
  <c r="Q25" i="10"/>
  <c r="P34" i="10"/>
  <c r="P28" i="10"/>
  <c r="R48" i="20"/>
  <c r="R44" i="20"/>
  <c r="R39" i="20"/>
  <c r="R37" i="20"/>
  <c r="R35" i="20"/>
  <c r="R31" i="20"/>
  <c r="R29" i="20"/>
  <c r="R27" i="20"/>
  <c r="R94" i="16"/>
  <c r="R93" i="16"/>
  <c r="R92" i="16"/>
  <c r="R91" i="16"/>
  <c r="R90" i="16"/>
  <c r="R89" i="16"/>
  <c r="R85" i="16"/>
  <c r="R84" i="16"/>
  <c r="R83" i="16"/>
  <c r="R82" i="16"/>
  <c r="R81" i="16"/>
  <c r="R80" i="16"/>
  <c r="R79" i="16"/>
  <c r="R78" i="16"/>
  <c r="R75" i="16"/>
  <c r="R74" i="16"/>
  <c r="R73" i="16"/>
  <c r="R72" i="16"/>
  <c r="R71" i="16"/>
  <c r="R70" i="16"/>
  <c r="R69" i="16"/>
  <c r="R68" i="16"/>
  <c r="R64" i="16"/>
  <c r="R63" i="16"/>
  <c r="R62" i="16"/>
  <c r="R61" i="16"/>
  <c r="R60" i="16"/>
  <c r="R59" i="16"/>
  <c r="R58" i="16"/>
  <c r="R57" i="16"/>
  <c r="R56" i="16"/>
  <c r="R55" i="16"/>
  <c r="R52" i="16"/>
  <c r="R51" i="16"/>
  <c r="R50" i="16"/>
  <c r="R49" i="16"/>
  <c r="R48" i="16"/>
  <c r="R47" i="16"/>
  <c r="R46" i="16"/>
  <c r="R45" i="16"/>
  <c r="R44" i="16"/>
  <c r="R43" i="16"/>
  <c r="R42" i="16"/>
  <c r="R41" i="16"/>
  <c r="R38" i="16"/>
  <c r="R37" i="16"/>
  <c r="R36" i="16"/>
  <c r="R35" i="16"/>
  <c r="R34" i="16"/>
  <c r="R33" i="16"/>
  <c r="R32" i="16"/>
  <c r="R31" i="16"/>
  <c r="R30" i="16"/>
  <c r="R29" i="16"/>
  <c r="R52" i="14"/>
  <c r="R51" i="14"/>
  <c r="R50" i="14"/>
  <c r="R49" i="14"/>
  <c r="R48" i="14"/>
  <c r="R47" i="14"/>
  <c r="R43" i="14"/>
  <c r="R42" i="14"/>
  <c r="R41" i="14"/>
  <c r="R40" i="14"/>
  <c r="R39" i="14"/>
  <c r="R38" i="14"/>
  <c r="R37" i="14"/>
  <c r="R36" i="14"/>
  <c r="R35" i="14"/>
  <c r="R34" i="14"/>
  <c r="R33" i="14"/>
  <c r="R32" i="14"/>
  <c r="R29" i="14"/>
  <c r="R28" i="14"/>
  <c r="R27" i="14"/>
  <c r="R26" i="14"/>
  <c r="R25" i="14"/>
  <c r="R24" i="14"/>
  <c r="R23" i="14"/>
  <c r="R22" i="14"/>
  <c r="R61" i="10"/>
  <c r="R60" i="10"/>
  <c r="R59" i="10"/>
  <c r="R58" i="10"/>
  <c r="R57" i="10"/>
  <c r="Q56" i="10"/>
  <c r="Q52" i="10"/>
  <c r="Q51" i="10"/>
  <c r="Q50" i="10"/>
  <c r="Q49" i="10"/>
  <c r="P48" i="10"/>
  <c r="P47" i="10"/>
  <c r="P46" i="10"/>
  <c r="P45" i="10"/>
  <c r="P44" i="10"/>
  <c r="P41" i="10"/>
  <c r="P40" i="10"/>
  <c r="P39" i="10"/>
  <c r="P38" i="10"/>
  <c r="P37" i="10"/>
  <c r="P36" i="10"/>
  <c r="P33" i="10"/>
  <c r="P26" i="10"/>
  <c r="O92" i="16"/>
  <c r="O85" i="16"/>
  <c r="O81" i="16"/>
  <c r="O75" i="16"/>
  <c r="O71" i="16"/>
  <c r="O64" i="16"/>
  <c r="O60" i="16"/>
  <c r="O56" i="16"/>
  <c r="O49" i="16"/>
  <c r="O45" i="16"/>
  <c r="O91" i="16"/>
  <c r="O84" i="16"/>
  <c r="O80" i="16"/>
  <c r="O74" i="16"/>
  <c r="O70" i="16"/>
  <c r="O63" i="16"/>
  <c r="O59" i="16"/>
  <c r="O55" i="16"/>
  <c r="O48" i="16"/>
  <c r="O44" i="16"/>
  <c r="O94" i="16"/>
  <c r="O90" i="16"/>
  <c r="O83" i="16"/>
  <c r="O79" i="16"/>
  <c r="O73" i="16"/>
  <c r="O69" i="16"/>
  <c r="O62" i="16"/>
  <c r="O58" i="16"/>
  <c r="O51" i="16"/>
  <c r="O47" i="16"/>
  <c r="O43" i="16"/>
  <c r="O82" i="16"/>
  <c r="O61" i="16"/>
  <c r="O38" i="16"/>
  <c r="O34" i="16"/>
  <c r="O30" i="16"/>
  <c r="O62" i="20"/>
  <c r="O55" i="20"/>
  <c r="O51" i="20"/>
  <c r="O45" i="20"/>
  <c r="O39" i="20"/>
  <c r="O35" i="20"/>
  <c r="O29" i="20"/>
  <c r="O48" i="19"/>
  <c r="O44" i="19"/>
  <c r="O37" i="19"/>
  <c r="O33" i="19"/>
  <c r="O78" i="16"/>
  <c r="O57" i="16"/>
  <c r="O37" i="16"/>
  <c r="O33" i="16"/>
  <c r="O29" i="16"/>
  <c r="O61" i="20"/>
  <c r="O54" i="20"/>
  <c r="O48" i="20"/>
  <c r="O44" i="20"/>
  <c r="O38" i="20"/>
  <c r="O34" i="20"/>
  <c r="O28" i="20"/>
  <c r="O47" i="19"/>
  <c r="O43" i="19"/>
  <c r="O93" i="16"/>
  <c r="O72" i="16"/>
  <c r="O50" i="16"/>
  <c r="O42" i="16"/>
  <c r="O36" i="16"/>
  <c r="O32" i="16"/>
  <c r="O64" i="20"/>
  <c r="O60" i="20"/>
  <c r="O53" i="20"/>
  <c r="O47" i="20"/>
  <c r="O43" i="20"/>
  <c r="O37" i="20"/>
  <c r="O31" i="20"/>
  <c r="O27" i="20"/>
  <c r="O46" i="19"/>
  <c r="O39" i="19"/>
  <c r="O31" i="16"/>
  <c r="O46" i="20"/>
  <c r="O26" i="20"/>
  <c r="O36" i="19"/>
  <c r="O35" i="19"/>
  <c r="O34" i="19"/>
  <c r="O26" i="19"/>
  <c r="O80" i="18"/>
  <c r="O73" i="18"/>
  <c r="O69" i="18"/>
  <c r="O65" i="18"/>
  <c r="O61" i="18"/>
  <c r="O55" i="18"/>
  <c r="O51" i="18"/>
  <c r="O47" i="18"/>
  <c r="O41" i="18"/>
  <c r="O37" i="18"/>
  <c r="O31" i="18"/>
  <c r="O89" i="16"/>
  <c r="O63" i="20"/>
  <c r="O42" i="20"/>
  <c r="O45" i="19"/>
  <c r="O25" i="19"/>
  <c r="O83" i="18"/>
  <c r="O79" i="18"/>
  <c r="O72" i="18"/>
  <c r="O68" i="18"/>
  <c r="O64" i="18"/>
  <c r="O60" i="18"/>
  <c r="O54" i="18"/>
  <c r="O50" i="18"/>
  <c r="O46" i="18"/>
  <c r="O40" i="18"/>
  <c r="O68" i="16"/>
  <c r="O41" i="16"/>
  <c r="O59" i="20"/>
  <c r="O36" i="20"/>
  <c r="O24" i="19"/>
  <c r="O82" i="18"/>
  <c r="O78" i="18"/>
  <c r="O71" i="18"/>
  <c r="O67" i="18"/>
  <c r="O63" i="18"/>
  <c r="O59" i="18"/>
  <c r="O53" i="18"/>
  <c r="O49" i="18"/>
  <c r="O45" i="18"/>
  <c r="O39" i="18"/>
  <c r="O46" i="16"/>
  <c r="O30" i="20"/>
  <c r="O38" i="19"/>
  <c r="O29" i="19"/>
  <c r="O70" i="18"/>
  <c r="O52" i="18"/>
  <c r="O27" i="18"/>
  <c r="O58" i="17"/>
  <c r="O51" i="17"/>
  <c r="O47" i="17"/>
  <c r="O40" i="17"/>
  <c r="O36" i="17"/>
  <c r="O32" i="17"/>
  <c r="O26" i="17"/>
  <c r="O60" i="10"/>
  <c r="O56" i="10"/>
  <c r="O49" i="10"/>
  <c r="O45" i="10"/>
  <c r="O39" i="10"/>
  <c r="O35" i="10"/>
  <c r="O28" i="10"/>
  <c r="O24" i="10"/>
  <c r="O68" i="1"/>
  <c r="O61" i="1"/>
  <c r="O55" i="1"/>
  <c r="O51" i="1"/>
  <c r="O45" i="1"/>
  <c r="O41" i="1"/>
  <c r="O37" i="1"/>
  <c r="O31" i="1"/>
  <c r="O27" i="1"/>
  <c r="O53" i="21"/>
  <c r="O46" i="21"/>
  <c r="O42" i="21"/>
  <c r="O32" i="19"/>
  <c r="O23" i="19"/>
  <c r="O66" i="18"/>
  <c r="O48" i="18"/>
  <c r="O36" i="18"/>
  <c r="O35" i="18"/>
  <c r="O34" i="18"/>
  <c r="O30" i="18"/>
  <c r="O26" i="18"/>
  <c r="O57" i="17"/>
  <c r="O50" i="17"/>
  <c r="O46" i="17"/>
  <c r="O39" i="17"/>
  <c r="O35" i="17"/>
  <c r="O31" i="17"/>
  <c r="O25" i="17"/>
  <c r="O59" i="10"/>
  <c r="O52" i="10"/>
  <c r="O48" i="10"/>
  <c r="O44" i="10"/>
  <c r="O38" i="10"/>
  <c r="O34" i="10"/>
  <c r="O27" i="10"/>
  <c r="O71" i="1"/>
  <c r="O67" i="1"/>
  <c r="O60" i="1"/>
  <c r="O54" i="1"/>
  <c r="O50" i="1"/>
  <c r="O44" i="1"/>
  <c r="O40" i="1"/>
  <c r="O36" i="1"/>
  <c r="O30" i="1"/>
  <c r="O26" i="1"/>
  <c r="O52" i="21"/>
  <c r="O45" i="21"/>
  <c r="O35" i="16"/>
  <c r="O31" i="19"/>
  <c r="O81" i="18"/>
  <c r="O62" i="18"/>
  <c r="O42" i="18"/>
  <c r="O29" i="18"/>
  <c r="O60" i="17"/>
  <c r="O56" i="17"/>
  <c r="O49" i="17"/>
  <c r="O45" i="17"/>
  <c r="O38" i="17"/>
  <c r="O34" i="17"/>
  <c r="O28" i="17"/>
  <c r="O24" i="17"/>
  <c r="O58" i="10"/>
  <c r="O51" i="10"/>
  <c r="O47" i="10"/>
  <c r="O41" i="10"/>
  <c r="O37" i="10"/>
  <c r="O33" i="10"/>
  <c r="O26" i="10"/>
  <c r="O70" i="1"/>
  <c r="O66" i="1"/>
  <c r="O59" i="1"/>
  <c r="O53" i="1"/>
  <c r="O49" i="1"/>
  <c r="O43" i="1"/>
  <c r="O39" i="1"/>
  <c r="O35" i="1"/>
  <c r="O29" i="1"/>
  <c r="O55" i="21"/>
  <c r="O51" i="21"/>
  <c r="O44" i="21"/>
  <c r="O40" i="21"/>
  <c r="O38" i="18"/>
  <c r="O28" i="18"/>
  <c r="O44" i="17"/>
  <c r="O61" i="10"/>
  <c r="O40" i="10"/>
  <c r="O69" i="1"/>
  <c r="O46" i="1"/>
  <c r="O28" i="1"/>
  <c r="O43" i="21"/>
  <c r="O33" i="21"/>
  <c r="O29" i="21"/>
  <c r="O25" i="21"/>
  <c r="O70" i="8"/>
  <c r="O66" i="8"/>
  <c r="O59" i="8"/>
  <c r="O53" i="8"/>
  <c r="O49" i="8"/>
  <c r="O43" i="8"/>
  <c r="O59" i="17"/>
  <c r="O37" i="17"/>
  <c r="O57" i="10"/>
  <c r="O36" i="10"/>
  <c r="O62" i="1"/>
  <c r="O42" i="1"/>
  <c r="O54" i="21"/>
  <c r="O41" i="21"/>
  <c r="O38" i="21"/>
  <c r="O32" i="21"/>
  <c r="O28" i="21"/>
  <c r="O24" i="21"/>
  <c r="O69" i="8"/>
  <c r="O65" i="8"/>
  <c r="O58" i="8"/>
  <c r="O52" i="8"/>
  <c r="O48" i="8"/>
  <c r="O42" i="8"/>
  <c r="O52" i="20"/>
  <c r="O30" i="19"/>
  <c r="O74" i="18"/>
  <c r="O55" i="17"/>
  <c r="O33" i="17"/>
  <c r="O50" i="10"/>
  <c r="O29" i="10"/>
  <c r="O58" i="1"/>
  <c r="O38" i="1"/>
  <c r="O50" i="21"/>
  <c r="O39" i="21"/>
  <c r="O37" i="21"/>
  <c r="O31" i="21"/>
  <c r="O27" i="21"/>
  <c r="O23" i="21"/>
  <c r="O68" i="8"/>
  <c r="O61" i="8"/>
  <c r="O57" i="8"/>
  <c r="O51" i="8"/>
  <c r="O45" i="8"/>
  <c r="O58" i="18"/>
  <c r="O48" i="17"/>
  <c r="O27" i="17"/>
  <c r="O46" i="10"/>
  <c r="O25" i="10"/>
  <c r="O52" i="1"/>
  <c r="O34" i="1"/>
  <c r="O36" i="21"/>
  <c r="O30" i="21"/>
  <c r="O26" i="21"/>
  <c r="O22" i="21"/>
  <c r="O67" i="8"/>
  <c r="O60" i="8"/>
  <c r="O56" i="8"/>
  <c r="O50" i="8"/>
  <c r="O38" i="8"/>
  <c r="O32" i="8"/>
  <c r="O28" i="8"/>
  <c r="O53" i="12"/>
  <c r="O49" i="12"/>
  <c r="O42" i="12"/>
  <c r="O38" i="12"/>
  <c r="O34" i="12"/>
  <c r="O27" i="12"/>
  <c r="O23" i="12"/>
  <c r="O22" i="12"/>
  <c r="O44" i="8"/>
  <c r="O37" i="8"/>
  <c r="O31" i="8"/>
  <c r="O27" i="8"/>
  <c r="O52" i="12"/>
  <c r="O48" i="12"/>
  <c r="O41" i="12"/>
  <c r="O37" i="12"/>
  <c r="O33" i="12"/>
  <c r="O26" i="12"/>
  <c r="O41" i="8"/>
  <c r="O40" i="8"/>
  <c r="O34" i="8"/>
  <c r="O30" i="8"/>
  <c r="O26" i="8"/>
  <c r="O51" i="12"/>
  <c r="O47" i="12"/>
  <c r="O40" i="12"/>
  <c r="O36" i="12"/>
  <c r="O29" i="12"/>
  <c r="O25" i="12"/>
  <c r="O39" i="8"/>
  <c r="O33" i="8"/>
  <c r="O29" i="8"/>
  <c r="O54" i="12"/>
  <c r="O50" i="12"/>
  <c r="O43" i="12"/>
  <c r="O39" i="12"/>
  <c r="O35" i="12"/>
  <c r="O28" i="12"/>
  <c r="O24" i="12"/>
  <c r="H7" i="13"/>
  <c r="H3" i="8"/>
  <c r="H3" i="12"/>
  <c r="C19" i="13"/>
  <c r="C5" i="13"/>
  <c r="C4" i="14"/>
  <c r="C3" i="13"/>
  <c r="C7" i="13"/>
  <c r="I7" i="13"/>
  <c r="F7" i="13"/>
  <c r="J7" i="13"/>
  <c r="L7" i="13"/>
  <c r="G7" i="13"/>
  <c r="K7" i="13"/>
  <c r="J18" i="32"/>
  <c r="J7" i="32"/>
  <c r="M18" i="32"/>
  <c r="M7" i="32"/>
  <c r="M6" i="32"/>
  <c r="J6" i="32"/>
  <c r="C4" i="10"/>
  <c r="K304" i="39"/>
  <c r="K301" i="39"/>
  <c r="J303" i="39"/>
  <c r="F52" i="14" l="1"/>
  <c r="F51" i="14"/>
  <c r="F50" i="14"/>
  <c r="F48" i="14"/>
  <c r="F47" i="14"/>
  <c r="F43" i="14"/>
  <c r="F42" i="14"/>
  <c r="F41" i="14"/>
  <c r="F40" i="14"/>
  <c r="F39" i="14"/>
  <c r="F38" i="14"/>
  <c r="F37" i="14"/>
  <c r="F36" i="14"/>
  <c r="F35" i="14"/>
  <c r="F34" i="14"/>
  <c r="F33" i="14"/>
  <c r="F32" i="14"/>
  <c r="F29" i="14"/>
  <c r="F28" i="14"/>
  <c r="F27" i="14"/>
  <c r="F26" i="14"/>
  <c r="F25" i="14"/>
  <c r="F24" i="14"/>
  <c r="F23" i="14"/>
  <c r="F94" i="16"/>
  <c r="F93" i="16"/>
  <c r="F92" i="16"/>
  <c r="F91" i="16"/>
  <c r="F90" i="16"/>
  <c r="F89" i="16"/>
  <c r="F73" i="16"/>
  <c r="F72" i="16"/>
  <c r="F71" i="16"/>
  <c r="F70" i="16"/>
  <c r="F69" i="16"/>
  <c r="F68" i="16"/>
  <c r="F59" i="16"/>
  <c r="F58" i="16"/>
  <c r="F57" i="16"/>
  <c r="F56" i="16"/>
  <c r="F43" i="16"/>
  <c r="F42" i="16"/>
  <c r="F41" i="16"/>
  <c r="F37" i="16"/>
  <c r="F36" i="16"/>
  <c r="F35" i="16"/>
  <c r="F34" i="16"/>
  <c r="F33" i="16"/>
  <c r="F32" i="16"/>
  <c r="F31" i="16"/>
  <c r="F30" i="16"/>
  <c r="F64" i="20"/>
  <c r="F63" i="20"/>
  <c r="F62" i="20"/>
  <c r="F61" i="20"/>
  <c r="F60" i="20"/>
  <c r="F59" i="20"/>
  <c r="F55" i="20"/>
  <c r="F54" i="20"/>
  <c r="F53" i="20"/>
  <c r="F52" i="20"/>
  <c r="F51" i="20"/>
  <c r="F47" i="20"/>
  <c r="F46" i="20"/>
  <c r="F45" i="20"/>
  <c r="F44" i="20"/>
  <c r="F43" i="20"/>
  <c r="F42" i="20"/>
  <c r="F39" i="20"/>
  <c r="F38" i="20"/>
  <c r="F37" i="20"/>
  <c r="F36" i="20"/>
  <c r="F35" i="20"/>
  <c r="F34" i="20"/>
  <c r="F31" i="20"/>
  <c r="F30" i="20"/>
  <c r="F29" i="20"/>
  <c r="F28" i="20"/>
  <c r="F27" i="20"/>
  <c r="F48" i="19"/>
  <c r="F47" i="19"/>
  <c r="F46" i="19"/>
  <c r="F45" i="19"/>
  <c r="F44" i="19"/>
  <c r="F43" i="19"/>
  <c r="F39" i="19"/>
  <c r="F38" i="19"/>
  <c r="F37" i="19"/>
  <c r="F36" i="19"/>
  <c r="F35" i="19"/>
  <c r="F34" i="19"/>
  <c r="F33" i="19"/>
  <c r="F32" i="19"/>
  <c r="F31" i="19"/>
  <c r="F30" i="19"/>
  <c r="F29" i="19"/>
  <c r="F26" i="19"/>
  <c r="F25" i="19"/>
  <c r="F24" i="19"/>
  <c r="F23" i="19"/>
  <c r="F83" i="18"/>
  <c r="F82" i="18"/>
  <c r="F81" i="18"/>
  <c r="F80" i="18"/>
  <c r="F79" i="18"/>
  <c r="F78" i="18"/>
  <c r="F54" i="18"/>
  <c r="F53" i="18"/>
  <c r="F52" i="18"/>
  <c r="F51" i="18"/>
  <c r="F50" i="18"/>
  <c r="F49" i="18"/>
  <c r="F48" i="18"/>
  <c r="F47" i="18"/>
  <c r="F46" i="18"/>
  <c r="F45" i="18"/>
  <c r="F42" i="18"/>
  <c r="F41" i="18"/>
  <c r="F40" i="18"/>
  <c r="F39" i="18"/>
  <c r="F38" i="18"/>
  <c r="F37" i="18"/>
  <c r="F36" i="18"/>
  <c r="F35" i="18"/>
  <c r="F34" i="18"/>
  <c r="F31" i="18"/>
  <c r="F30" i="18"/>
  <c r="F29" i="18"/>
  <c r="F28" i="18"/>
  <c r="F27" i="18"/>
  <c r="F60" i="17"/>
  <c r="F59" i="17"/>
  <c r="F58" i="17"/>
  <c r="F57" i="17"/>
  <c r="F56" i="17"/>
  <c r="F55" i="17"/>
  <c r="F51" i="17"/>
  <c r="F50" i="17"/>
  <c r="F49" i="17"/>
  <c r="F48" i="17"/>
  <c r="F47" i="17"/>
  <c r="F46" i="17"/>
  <c r="F45" i="17"/>
  <c r="F44" i="17"/>
  <c r="F40" i="17"/>
  <c r="F39" i="17"/>
  <c r="F38" i="17"/>
  <c r="F37" i="17"/>
  <c r="F36" i="17"/>
  <c r="F35" i="17"/>
  <c r="F34" i="17"/>
  <c r="F33" i="17"/>
  <c r="F32" i="17"/>
  <c r="F31" i="17"/>
  <c r="F27" i="17"/>
  <c r="F26" i="17"/>
  <c r="F25" i="17"/>
  <c r="F55" i="21"/>
  <c r="F54" i="21"/>
  <c r="F53" i="21"/>
  <c r="F52" i="21"/>
  <c r="F51" i="21"/>
  <c r="F50" i="21"/>
  <c r="F46" i="21"/>
  <c r="F45" i="21"/>
  <c r="F44" i="21"/>
  <c r="F43" i="21"/>
  <c r="F42" i="21"/>
  <c r="F41" i="21"/>
  <c r="F40" i="21"/>
  <c r="F39" i="21"/>
  <c r="F38" i="21"/>
  <c r="F37" i="21"/>
  <c r="F36" i="21"/>
  <c r="F33" i="21"/>
  <c r="F32" i="21"/>
  <c r="F31" i="21"/>
  <c r="F30" i="21"/>
  <c r="F29" i="21"/>
  <c r="F28" i="21"/>
  <c r="F27" i="21"/>
  <c r="F26" i="21"/>
  <c r="F25" i="21"/>
  <c r="F24" i="21"/>
  <c r="F23" i="21"/>
  <c r="F61" i="10"/>
  <c r="F60" i="10"/>
  <c r="F59" i="10"/>
  <c r="F58" i="10"/>
  <c r="F57" i="10"/>
  <c r="F56" i="10"/>
  <c r="F40" i="10"/>
  <c r="F39" i="10"/>
  <c r="F38" i="10"/>
  <c r="F37" i="10"/>
  <c r="F36" i="10"/>
  <c r="F35" i="10"/>
  <c r="F34" i="10"/>
  <c r="F33" i="10"/>
  <c r="F29" i="10"/>
  <c r="F28" i="10"/>
  <c r="F27" i="10"/>
  <c r="F26" i="10"/>
  <c r="F25" i="10"/>
  <c r="F70" i="8"/>
  <c r="F69" i="8"/>
  <c r="F68" i="8"/>
  <c r="F67" i="8"/>
  <c r="F66" i="8"/>
  <c r="F65" i="8"/>
  <c r="F61" i="8"/>
  <c r="F60" i="8"/>
  <c r="F59" i="8"/>
  <c r="F58" i="8"/>
  <c r="F57" i="8"/>
  <c r="F56" i="8"/>
  <c r="F53" i="8"/>
  <c r="F52" i="8"/>
  <c r="F51" i="8"/>
  <c r="F50" i="8"/>
  <c r="F49" i="8"/>
  <c r="F48" i="8"/>
  <c r="F42" i="8"/>
  <c r="F41" i="8"/>
  <c r="F40" i="8"/>
  <c r="F39" i="8"/>
  <c r="F38" i="8"/>
  <c r="F37" i="8"/>
  <c r="F31" i="8"/>
  <c r="F30" i="8"/>
  <c r="F29" i="8"/>
  <c r="F28" i="8"/>
  <c r="F27" i="8"/>
  <c r="F22" i="14"/>
  <c r="F29" i="16"/>
  <c r="F26" i="20"/>
  <c r="F22" i="19"/>
  <c r="F26" i="18"/>
  <c r="F24" i="17"/>
  <c r="F22" i="21"/>
  <c r="F24" i="10"/>
  <c r="F26" i="8"/>
  <c r="J33" i="6"/>
  <c r="F34" i="6"/>
  <c r="J34" i="6"/>
  <c r="J31" i="6"/>
  <c r="F30" i="6"/>
  <c r="J30" i="6"/>
  <c r="F31" i="6"/>
  <c r="J32" i="6"/>
  <c r="F33" i="6"/>
  <c r="F31" i="1" l="1"/>
  <c r="F30" i="1"/>
  <c r="F29" i="1"/>
  <c r="F28" i="1"/>
  <c r="F27" i="1"/>
  <c r="F26" i="1"/>
  <c r="F54" i="1"/>
  <c r="F53" i="1"/>
  <c r="F52" i="1"/>
  <c r="F51" i="1"/>
  <c r="F50" i="1"/>
  <c r="F49" i="1"/>
  <c r="F55" i="1"/>
  <c r="I227" i="5" l="1"/>
  <c r="I225" i="5"/>
  <c r="I229" i="5"/>
  <c r="I224" i="5"/>
  <c r="I228" i="5"/>
  <c r="I226" i="5"/>
  <c r="E492" i="49" l="1"/>
  <c r="G492" i="49" s="1"/>
  <c r="E493" i="49"/>
  <c r="G493" i="49" s="1"/>
  <c r="E503" i="49"/>
  <c r="G503" i="49" s="1"/>
  <c r="E504" i="49"/>
  <c r="G504" i="49" s="1"/>
  <c r="E502" i="49"/>
  <c r="G502" i="49" s="1"/>
  <c r="E496" i="49"/>
  <c r="G496" i="49" s="1"/>
  <c r="E497" i="49"/>
  <c r="G497" i="49" s="1"/>
  <c r="E495" i="49"/>
  <c r="G495" i="49" s="1"/>
  <c r="E494" i="49"/>
  <c r="G494" i="49" s="1"/>
  <c r="E499" i="49"/>
  <c r="G499" i="49" s="1"/>
  <c r="E500" i="49"/>
  <c r="G500" i="49" s="1"/>
  <c r="E501" i="49"/>
  <c r="G501" i="49" s="1"/>
  <c r="E498" i="49"/>
  <c r="G498" i="49" s="1"/>
  <c r="D39" i="6"/>
  <c r="C13" i="12"/>
  <c r="E7" i="12"/>
  <c r="E9" i="12"/>
  <c r="E8" i="12"/>
  <c r="E7" i="1"/>
  <c r="C4" i="1"/>
  <c r="E9" i="1"/>
  <c r="E8" i="1"/>
  <c r="E28" i="1"/>
  <c r="E50" i="14"/>
  <c r="E41" i="14"/>
  <c r="E37" i="14"/>
  <c r="E33" i="14"/>
  <c r="D30" i="14"/>
  <c r="E26" i="14"/>
  <c r="E22" i="14"/>
  <c r="E9" i="14"/>
  <c r="E64" i="20"/>
  <c r="E60" i="20"/>
  <c r="D56" i="20"/>
  <c r="E52" i="20"/>
  <c r="D49" i="20"/>
  <c r="E44" i="20"/>
  <c r="E37" i="20"/>
  <c r="E30" i="20"/>
  <c r="E26" i="20"/>
  <c r="E10" i="20"/>
  <c r="C6" i="20"/>
  <c r="E48" i="19"/>
  <c r="E44" i="19"/>
  <c r="D40" i="19"/>
  <c r="E39" i="19"/>
  <c r="E35" i="19"/>
  <c r="E31" i="19"/>
  <c r="E26" i="19"/>
  <c r="E22" i="19"/>
  <c r="C6" i="19"/>
  <c r="E83" i="18"/>
  <c r="E79" i="18"/>
  <c r="D75" i="18"/>
  <c r="E51" i="18"/>
  <c r="E47" i="18"/>
  <c r="E40" i="18"/>
  <c r="E48" i="14"/>
  <c r="D44" i="14"/>
  <c r="E40" i="14"/>
  <c r="E36" i="14"/>
  <c r="E32" i="14"/>
  <c r="E29" i="14"/>
  <c r="E25" i="14"/>
  <c r="E7" i="14"/>
  <c r="E63" i="20"/>
  <c r="E59" i="20"/>
  <c r="E55" i="20"/>
  <c r="E51" i="20"/>
  <c r="E47" i="20"/>
  <c r="E43" i="20"/>
  <c r="D40" i="20"/>
  <c r="E36" i="20"/>
  <c r="E52" i="14"/>
  <c r="E43" i="14"/>
  <c r="E35" i="14"/>
  <c r="E24" i="14"/>
  <c r="C13" i="14"/>
  <c r="E54" i="20"/>
  <c r="E42" i="20"/>
  <c r="E39" i="20"/>
  <c r="E31" i="20"/>
  <c r="C13" i="20"/>
  <c r="E8" i="20"/>
  <c r="E45" i="19"/>
  <c r="E36" i="19"/>
  <c r="E30" i="19"/>
  <c r="C13" i="19"/>
  <c r="C4" i="19"/>
  <c r="E81" i="18"/>
  <c r="E54" i="18"/>
  <c r="E49" i="18"/>
  <c r="D43" i="18"/>
  <c r="E38" i="18"/>
  <c r="E34" i="18"/>
  <c r="E31" i="18"/>
  <c r="E27" i="18"/>
  <c r="D12" i="18"/>
  <c r="E8" i="18"/>
  <c r="C4" i="18"/>
  <c r="E59" i="17"/>
  <c r="E55" i="17"/>
  <c r="E51" i="17"/>
  <c r="E47" i="17"/>
  <c r="E39" i="17"/>
  <c r="E35" i="17"/>
  <c r="E31" i="17"/>
  <c r="E27" i="17"/>
  <c r="E7" i="17"/>
  <c r="E52" i="21"/>
  <c r="E46" i="21"/>
  <c r="E42" i="21"/>
  <c r="E38" i="21"/>
  <c r="E31" i="21"/>
  <c r="E27" i="21"/>
  <c r="E23" i="21"/>
  <c r="D12" i="21"/>
  <c r="E7" i="21"/>
  <c r="E58" i="10"/>
  <c r="E38" i="10"/>
  <c r="E34" i="10"/>
  <c r="D31" i="10"/>
  <c r="E27" i="10"/>
  <c r="E8" i="10"/>
  <c r="E53" i="1"/>
  <c r="E49" i="1"/>
  <c r="E31" i="1"/>
  <c r="E27" i="1"/>
  <c r="E68" i="8"/>
  <c r="E60" i="8"/>
  <c r="E56" i="8"/>
  <c r="E53" i="8"/>
  <c r="E49" i="8"/>
  <c r="D46" i="8"/>
  <c r="E39" i="8"/>
  <c r="E29" i="8"/>
  <c r="E8" i="8"/>
  <c r="C4" i="8"/>
  <c r="C16" i="13"/>
  <c r="C12" i="13"/>
  <c r="E51" i="14"/>
  <c r="E42" i="14"/>
  <c r="E27" i="14"/>
  <c r="D12" i="14"/>
  <c r="C6" i="14"/>
  <c r="E35" i="20"/>
  <c r="D32" i="20"/>
  <c r="E34" i="19"/>
  <c r="E7" i="19"/>
  <c r="E80" i="18"/>
  <c r="E50" i="18"/>
  <c r="E41" i="18"/>
  <c r="E35" i="18"/>
  <c r="E29" i="18"/>
  <c r="C6" i="18"/>
  <c r="E58" i="17"/>
  <c r="D52" i="17"/>
  <c r="E46" i="17"/>
  <c r="E40" i="17"/>
  <c r="E34" i="17"/>
  <c r="D29" i="17"/>
  <c r="D12" i="17"/>
  <c r="E9" i="17"/>
  <c r="C6" i="17"/>
  <c r="E54" i="21"/>
  <c r="D47" i="21"/>
  <c r="E44" i="21"/>
  <c r="E39" i="21"/>
  <c r="E33" i="21"/>
  <c r="E28" i="21"/>
  <c r="E22" i="21"/>
  <c r="E9" i="21"/>
  <c r="C6" i="21"/>
  <c r="E60" i="10"/>
  <c r="D53" i="10"/>
  <c r="E36" i="10"/>
  <c r="E25" i="10"/>
  <c r="E9" i="10"/>
  <c r="E7" i="10"/>
  <c r="E54" i="1"/>
  <c r="E67" i="8"/>
  <c r="E61" i="8"/>
  <c r="E50" i="8"/>
  <c r="E41" i="8"/>
  <c r="D35" i="8"/>
  <c r="E27" i="8"/>
  <c r="E11" i="8"/>
  <c r="C6" i="8"/>
  <c r="C14" i="13"/>
  <c r="H33" i="6"/>
  <c r="H31" i="6"/>
  <c r="E47" i="14"/>
  <c r="E39" i="14"/>
  <c r="E23" i="14"/>
  <c r="E62" i="20"/>
  <c r="E34" i="20"/>
  <c r="E29" i="20"/>
  <c r="E11" i="20"/>
  <c r="E47" i="19"/>
  <c r="E33" i="19"/>
  <c r="E25" i="19"/>
  <c r="E9" i="19"/>
  <c r="E78" i="18"/>
  <c r="E48" i="18"/>
  <c r="E39" i="18"/>
  <c r="E28" i="18"/>
  <c r="E57" i="17"/>
  <c r="E50" i="17"/>
  <c r="E45" i="17"/>
  <c r="E38" i="17"/>
  <c r="E33" i="17"/>
  <c r="E26" i="17"/>
  <c r="C4" i="17"/>
  <c r="E53" i="21"/>
  <c r="E43" i="21"/>
  <c r="E37" i="21"/>
  <c r="E32" i="21"/>
  <c r="E26" i="21"/>
  <c r="C13" i="21"/>
  <c r="C4" i="21"/>
  <c r="E59" i="10"/>
  <c r="E40" i="10"/>
  <c r="E35" i="10"/>
  <c r="E29" i="10"/>
  <c r="E24" i="10"/>
  <c r="C6" i="10"/>
  <c r="E52" i="1"/>
  <c r="D47" i="1"/>
  <c r="E26" i="1"/>
  <c r="E66" i="8"/>
  <c r="E59" i="8"/>
  <c r="D54" i="8"/>
  <c r="E48" i="8"/>
  <c r="E40" i="8"/>
  <c r="C13" i="8"/>
  <c r="C13" i="13"/>
  <c r="D12" i="12"/>
  <c r="D33" i="6"/>
  <c r="D31" i="6"/>
  <c r="D12" i="10"/>
  <c r="E31" i="8"/>
  <c r="C18" i="13"/>
  <c r="E38" i="14"/>
  <c r="E61" i="20"/>
  <c r="E53" i="20"/>
  <c r="E46" i="20"/>
  <c r="E28" i="20"/>
  <c r="E7" i="20"/>
  <c r="E46" i="19"/>
  <c r="E38" i="19"/>
  <c r="E32" i="19"/>
  <c r="E24" i="19"/>
  <c r="E8" i="19"/>
  <c r="E53" i="18"/>
  <c r="E46" i="18"/>
  <c r="E37" i="18"/>
  <c r="D32" i="18"/>
  <c r="E26" i="18"/>
  <c r="E10" i="18"/>
  <c r="E56" i="17"/>
  <c r="E49" i="17"/>
  <c r="E44" i="17"/>
  <c r="E37" i="17"/>
  <c r="E32" i="17"/>
  <c r="E25" i="17"/>
  <c r="E10" i="17"/>
  <c r="E8" i="17"/>
  <c r="E51" i="21"/>
  <c r="E41" i="21"/>
  <c r="E36" i="21"/>
  <c r="E30" i="21"/>
  <c r="E25" i="21"/>
  <c r="E8" i="21"/>
  <c r="E57" i="10"/>
  <c r="E39" i="10"/>
  <c r="E33" i="10"/>
  <c r="E28" i="10"/>
  <c r="E51" i="1"/>
  <c r="D32" i="1"/>
  <c r="E30" i="1"/>
  <c r="C13" i="1"/>
  <c r="E70" i="8"/>
  <c r="E28" i="14"/>
  <c r="E27" i="20"/>
  <c r="E43" i="19"/>
  <c r="D27" i="19"/>
  <c r="E82" i="18"/>
  <c r="E42" i="18"/>
  <c r="E60" i="17"/>
  <c r="E45" i="21"/>
  <c r="E29" i="21"/>
  <c r="E37" i="10"/>
  <c r="E50" i="1"/>
  <c r="C6" i="1"/>
  <c r="E38" i="8"/>
  <c r="E30" i="8"/>
  <c r="C17" i="13"/>
  <c r="E45" i="20"/>
  <c r="D12" i="20"/>
  <c r="E23" i="19"/>
  <c r="E36" i="18"/>
  <c r="C13" i="18"/>
  <c r="D41" i="17"/>
  <c r="E24" i="17"/>
  <c r="E55" i="21"/>
  <c r="E40" i="21"/>
  <c r="E24" i="21"/>
  <c r="E61" i="10"/>
  <c r="E29" i="1"/>
  <c r="E69" i="8"/>
  <c r="D62" i="8"/>
  <c r="E37" i="8"/>
  <c r="E28" i="8"/>
  <c r="E7" i="8"/>
  <c r="C15" i="13"/>
  <c r="D32" i="6"/>
  <c r="E45" i="18"/>
  <c r="E48" i="17"/>
  <c r="D34" i="21"/>
  <c r="E55" i="1"/>
  <c r="E57" i="8"/>
  <c r="E9" i="8"/>
  <c r="C10" i="13"/>
  <c r="C6" i="12"/>
  <c r="D34" i="6"/>
  <c r="H32" i="6"/>
  <c r="E8" i="14"/>
  <c r="E38" i="20"/>
  <c r="E9" i="20"/>
  <c r="E37" i="19"/>
  <c r="D12" i="19"/>
  <c r="E52" i="18"/>
  <c r="E9" i="18"/>
  <c r="E36" i="17"/>
  <c r="C13" i="17"/>
  <c r="E50" i="21"/>
  <c r="E56" i="10"/>
  <c r="E58" i="8"/>
  <c r="E52" i="8"/>
  <c r="E10" i="8"/>
  <c r="C11" i="13"/>
  <c r="H34" i="6"/>
  <c r="H30" i="6"/>
  <c r="E34" i="14"/>
  <c r="C4" i="20"/>
  <c r="E29" i="19"/>
  <c r="E30" i="18"/>
  <c r="E7" i="18"/>
  <c r="E26" i="10"/>
  <c r="E51" i="8"/>
  <c r="D30" i="6"/>
  <c r="H2" i="5"/>
  <c r="H255" i="39"/>
  <c r="H169" i="5"/>
  <c r="H172" i="39"/>
  <c r="H194" i="39"/>
  <c r="H447" i="39"/>
  <c r="H145" i="5"/>
  <c r="H128" i="5"/>
  <c r="H138" i="5"/>
  <c r="H129" i="5"/>
  <c r="H285" i="39"/>
  <c r="H300" i="5"/>
  <c r="H295" i="39"/>
  <c r="H309" i="5"/>
  <c r="H357" i="39"/>
  <c r="H292" i="39"/>
  <c r="H335" i="5"/>
  <c r="H269" i="5"/>
  <c r="H3" i="5"/>
  <c r="H231" i="5"/>
  <c r="H230" i="5"/>
  <c r="H118" i="5"/>
  <c r="H111" i="5"/>
  <c r="H360" i="5"/>
  <c r="H417" i="39"/>
  <c r="H181" i="39"/>
  <c r="H320" i="5"/>
  <c r="H175" i="5"/>
  <c r="H232" i="39"/>
  <c r="H218" i="39"/>
  <c r="H324" i="39"/>
  <c r="H110" i="5"/>
  <c r="H252" i="39"/>
  <c r="H249" i="39"/>
  <c r="H350" i="5"/>
  <c r="H257" i="39"/>
  <c r="H153" i="5"/>
  <c r="H10" i="5"/>
  <c r="H276" i="39"/>
  <c r="H200" i="5"/>
  <c r="H120" i="5"/>
  <c r="H140" i="5"/>
  <c r="H96" i="5"/>
  <c r="H341" i="39"/>
  <c r="H349" i="39"/>
  <c r="H192" i="39"/>
  <c r="H18" i="5"/>
  <c r="H205" i="39"/>
  <c r="H274" i="39"/>
  <c r="H367" i="5"/>
  <c r="H355" i="39"/>
  <c r="H235" i="39"/>
  <c r="H207" i="5"/>
  <c r="H310" i="39"/>
  <c r="H340" i="5"/>
  <c r="H300" i="39"/>
  <c r="H336" i="5"/>
  <c r="H133" i="5"/>
  <c r="H221" i="5"/>
  <c r="H27" i="5"/>
  <c r="H329" i="5"/>
  <c r="H226" i="39"/>
  <c r="H157" i="5"/>
  <c r="H98" i="39"/>
  <c r="H312" i="39"/>
  <c r="H198" i="39"/>
  <c r="H303" i="5"/>
  <c r="H334" i="39"/>
  <c r="H230" i="39"/>
  <c r="H203" i="39"/>
  <c r="H397" i="39"/>
  <c r="H187" i="5"/>
  <c r="H193" i="39"/>
  <c r="H19" i="5"/>
  <c r="H276" i="5"/>
  <c r="H244" i="5"/>
  <c r="H271" i="5"/>
  <c r="H437" i="39"/>
  <c r="H368" i="39"/>
  <c r="H234" i="5"/>
  <c r="H5" i="5"/>
  <c r="H443" i="39"/>
  <c r="H250" i="39"/>
  <c r="H332" i="39"/>
  <c r="H229" i="39"/>
  <c r="H398" i="39"/>
  <c r="H280" i="5"/>
  <c r="H95" i="39"/>
  <c r="H212" i="39"/>
  <c r="H186" i="5"/>
  <c r="H327" i="5"/>
  <c r="H197" i="39"/>
  <c r="H201" i="39"/>
  <c r="H379" i="39"/>
  <c r="H314" i="39"/>
  <c r="H281" i="5"/>
  <c r="H246" i="5"/>
  <c r="H211" i="5"/>
  <c r="H94" i="39"/>
  <c r="H400" i="39"/>
  <c r="H283" i="5"/>
  <c r="H290" i="5"/>
  <c r="H256" i="5"/>
  <c r="H214" i="5"/>
  <c r="H193" i="5"/>
  <c r="H293" i="39"/>
  <c r="H243" i="39"/>
  <c r="H263" i="39"/>
  <c r="H442" i="39"/>
  <c r="H428" i="39"/>
  <c r="H105" i="5"/>
  <c r="H189" i="5"/>
  <c r="H293" i="5"/>
  <c r="H440" i="39"/>
  <c r="H370" i="5"/>
  <c r="H289" i="5"/>
  <c r="H268" i="39"/>
  <c r="H207" i="39"/>
  <c r="H224" i="39"/>
  <c r="H247" i="39"/>
  <c r="H358" i="39"/>
  <c r="H142" i="5"/>
  <c r="H141" i="5"/>
  <c r="H217" i="39"/>
  <c r="H348" i="39"/>
  <c r="H215" i="39"/>
  <c r="H371" i="39"/>
  <c r="H290" i="39"/>
  <c r="H127" i="5"/>
  <c r="H222" i="39"/>
  <c r="H24" i="5"/>
  <c r="H83" i="39"/>
  <c r="H107" i="5"/>
  <c r="H369" i="39"/>
  <c r="H377" i="39"/>
  <c r="H385" i="39"/>
  <c r="H423" i="39"/>
  <c r="H292" i="5"/>
  <c r="H197" i="5"/>
  <c r="H333" i="39"/>
  <c r="H325" i="5"/>
  <c r="H186" i="39"/>
  <c r="H274" i="5"/>
  <c r="H7" i="5"/>
  <c r="H254" i="39"/>
  <c r="H275" i="5"/>
  <c r="H282" i="5"/>
  <c r="H353" i="5"/>
  <c r="H308" i="39"/>
  <c r="H319" i="5"/>
  <c r="H394" i="39"/>
  <c r="H304" i="5"/>
  <c r="H395" i="39"/>
  <c r="H298" i="39"/>
  <c r="H135" i="5"/>
  <c r="H163" i="5"/>
  <c r="H185" i="39"/>
  <c r="H144" i="5"/>
  <c r="H321" i="39"/>
  <c r="H301" i="5"/>
  <c r="H429" i="39"/>
  <c r="H136" i="5"/>
  <c r="H183" i="5"/>
  <c r="H283" i="39"/>
  <c r="H438" i="39"/>
  <c r="H245" i="5"/>
  <c r="H25" i="5"/>
  <c r="H356" i="39"/>
  <c r="H203" i="5"/>
  <c r="H191" i="5"/>
  <c r="H315" i="39"/>
  <c r="H160" i="5"/>
  <c r="H342" i="39"/>
  <c r="H215" i="5"/>
  <c r="H88" i="39"/>
  <c r="H254" i="5"/>
  <c r="H392" i="39"/>
  <c r="H165" i="5"/>
  <c r="H81" i="39"/>
  <c r="H329" i="39"/>
  <c r="H277" i="39"/>
  <c r="H350" i="39"/>
  <c r="H241" i="5"/>
  <c r="H95" i="5"/>
  <c r="H227" i="39"/>
  <c r="H89" i="39"/>
  <c r="H105" i="39"/>
  <c r="H405" i="39"/>
  <c r="H143" i="5"/>
  <c r="H406" i="39"/>
  <c r="H194" i="5"/>
  <c r="H313" i="39"/>
  <c r="H407" i="39"/>
  <c r="H416" i="39"/>
  <c r="H430" i="39"/>
  <c r="H232" i="5"/>
  <c r="H204" i="39"/>
  <c r="H311" i="5"/>
  <c r="H436" i="39"/>
  <c r="H271" i="39"/>
  <c r="H220" i="5"/>
  <c r="H383" i="39"/>
  <c r="H320" i="39"/>
  <c r="H152" i="5"/>
  <c r="H245" i="39"/>
  <c r="H411" i="39"/>
  <c r="H238" i="5"/>
  <c r="H148" i="5"/>
  <c r="H30" i="5"/>
  <c r="H425" i="39"/>
  <c r="H381" i="39"/>
  <c r="H101" i="5"/>
  <c r="H258" i="5"/>
  <c r="H173" i="5"/>
  <c r="H403" i="39"/>
  <c r="H387" i="39"/>
  <c r="H15" i="5"/>
  <c r="H213" i="39"/>
  <c r="H390" i="39"/>
  <c r="H343" i="5"/>
  <c r="H116" i="5"/>
  <c r="H376" i="39"/>
  <c r="H218" i="5"/>
  <c r="H269" i="39"/>
  <c r="H178" i="39"/>
  <c r="H264" i="39"/>
  <c r="H31" i="5"/>
  <c r="H151" i="5"/>
  <c r="H267" i="39"/>
  <c r="H119" i="5"/>
  <c r="H307" i="5"/>
  <c r="H183" i="39"/>
  <c r="H170" i="5"/>
  <c r="H272" i="39"/>
  <c r="H270" i="5"/>
  <c r="H363" i="39"/>
  <c r="H176" i="39"/>
  <c r="H26" i="5"/>
  <c r="H294" i="5"/>
  <c r="H201" i="5"/>
  <c r="H297" i="39"/>
  <c r="H137" i="5"/>
  <c r="H323" i="5"/>
  <c r="H361" i="5"/>
  <c r="H284" i="39"/>
  <c r="H222" i="5"/>
  <c r="H347" i="39"/>
  <c r="H359" i="39"/>
  <c r="H326" i="39"/>
  <c r="H180" i="39"/>
  <c r="H410" i="39"/>
  <c r="H240" i="5"/>
  <c r="H237" i="5"/>
  <c r="H23" i="5"/>
  <c r="H175" i="39"/>
  <c r="H122" i="5"/>
  <c r="H327" i="39"/>
  <c r="H367" i="39"/>
  <c r="H388" i="39"/>
  <c r="H370" i="39"/>
  <c r="H190" i="39"/>
  <c r="H325" i="39"/>
  <c r="H415" i="39"/>
  <c r="H130" i="5"/>
  <c r="H22" i="5"/>
  <c r="H246" i="39"/>
  <c r="H258" i="39"/>
  <c r="H319" i="39"/>
  <c r="H195" i="5"/>
  <c r="H132" i="5"/>
  <c r="H414" i="39"/>
  <c r="H179" i="5"/>
  <c r="H262" i="39"/>
  <c r="H315" i="5"/>
  <c r="H434" i="39"/>
  <c r="H380" i="39"/>
  <c r="H318" i="39"/>
  <c r="H210" i="39"/>
  <c r="H208" i="39"/>
  <c r="H104" i="5"/>
  <c r="H156" i="5"/>
  <c r="H178" i="5"/>
  <c r="H351" i="39"/>
  <c r="H134" i="5"/>
  <c r="H86" i="39"/>
  <c r="H364" i="39"/>
  <c r="H210" i="5"/>
  <c r="H228" i="39"/>
  <c r="H341" i="5"/>
  <c r="H211" i="39"/>
  <c r="H420" i="39"/>
  <c r="H342" i="5"/>
  <c r="H92" i="39"/>
  <c r="H338" i="39"/>
  <c r="H354" i="5"/>
  <c r="H318" i="5"/>
  <c r="H4" i="5"/>
  <c r="H272" i="5"/>
  <c r="H99" i="5"/>
  <c r="H131" i="5"/>
  <c r="H101" i="39"/>
  <c r="H289" i="39"/>
  <c r="H192" i="5"/>
  <c r="H255" i="5"/>
  <c r="H250" i="5"/>
  <c r="H431" i="39"/>
  <c r="H313" i="5"/>
  <c r="H308" i="5"/>
  <c r="H408" i="39"/>
  <c r="H253" i="39"/>
  <c r="H299" i="5"/>
  <c r="H248" i="5"/>
  <c r="H174" i="39"/>
  <c r="H266" i="39"/>
  <c r="H206" i="5"/>
  <c r="H260" i="39"/>
  <c r="H182" i="39"/>
  <c r="H106" i="5"/>
  <c r="H369" i="5"/>
  <c r="H85" i="39"/>
  <c r="H352" i="5"/>
  <c r="H180" i="5"/>
  <c r="H80" i="39"/>
  <c r="H362" i="39"/>
  <c r="H166" i="5"/>
  <c r="H219" i="5"/>
  <c r="H349" i="5"/>
  <c r="H216" i="39"/>
  <c r="H239" i="5"/>
  <c r="H302" i="5"/>
  <c r="H236" i="39"/>
  <c r="H347" i="5"/>
  <c r="H185" i="5"/>
  <c r="H330" i="39"/>
  <c r="H256" i="39"/>
  <c r="H265" i="5"/>
  <c r="H243" i="5"/>
  <c r="H261" i="39"/>
  <c r="H9" i="5"/>
  <c r="H244" i="39"/>
  <c r="H257" i="5"/>
  <c r="H238" i="39"/>
  <c r="H413" i="39"/>
  <c r="H231" i="39"/>
  <c r="H125" i="5"/>
  <c r="H294" i="39"/>
  <c r="H355" i="5"/>
  <c r="H261" i="5"/>
  <c r="H234" i="39"/>
  <c r="H285" i="5"/>
  <c r="H249" i="5"/>
  <c r="H184" i="39"/>
  <c r="H433" i="39"/>
  <c r="H281" i="39"/>
  <c r="H278" i="39"/>
  <c r="H102" i="5"/>
  <c r="H174" i="5"/>
  <c r="H158" i="5"/>
  <c r="H84" i="39"/>
  <c r="H147" i="5"/>
  <c r="H106" i="39"/>
  <c r="H188" i="39"/>
  <c r="H202" i="39"/>
  <c r="H378" i="39"/>
  <c r="H286" i="39"/>
  <c r="H263" i="5"/>
  <c r="H396" i="39"/>
  <c r="H103" i="39"/>
  <c r="H216" i="5"/>
  <c r="H386" i="39"/>
  <c r="H260" i="5"/>
  <c r="H409" i="39"/>
  <c r="H146" i="5"/>
  <c r="H29" i="5"/>
  <c r="H173" i="39"/>
  <c r="H188" i="5"/>
  <c r="H17" i="5"/>
  <c r="H247" i="5"/>
  <c r="H310" i="5"/>
  <c r="H191" i="39"/>
  <c r="H277" i="5"/>
  <c r="H28" i="5"/>
  <c r="H296" i="5"/>
  <c r="H282" i="39"/>
  <c r="H262" i="5"/>
  <c r="H297" i="5"/>
  <c r="H20" i="5"/>
  <c r="H330" i="5"/>
  <c r="H366" i="39"/>
  <c r="H242" i="5"/>
  <c r="H354" i="39"/>
  <c r="H233" i="5"/>
  <c r="H248" i="39"/>
  <c r="H373" i="39"/>
  <c r="H87" i="39"/>
  <c r="H12" i="5"/>
  <c r="H332" i="5"/>
  <c r="H334" i="5"/>
  <c r="H328" i="5"/>
  <c r="H149" i="5"/>
  <c r="H418" i="39"/>
  <c r="H176" i="5"/>
  <c r="H196" i="5"/>
  <c r="H268" i="5"/>
  <c r="H154" i="5"/>
  <c r="H252" i="5"/>
  <c r="H352" i="39"/>
  <c r="H200" i="39"/>
  <c r="H335" i="39"/>
  <c r="H115" i="5"/>
  <c r="H114" i="5"/>
  <c r="H240" i="39"/>
  <c r="H316" i="5"/>
  <c r="H364" i="5"/>
  <c r="H306" i="5"/>
  <c r="H419" i="39"/>
  <c r="H235" i="5"/>
  <c r="H251" i="5"/>
  <c r="H98" i="5"/>
  <c r="H322" i="5"/>
  <c r="H372" i="39"/>
  <c r="H172" i="5"/>
  <c r="H239" i="39"/>
  <c r="H361" i="39"/>
  <c r="H100" i="5"/>
  <c r="H279" i="5"/>
  <c r="H259" i="39"/>
  <c r="H217" i="5"/>
  <c r="H162" i="5"/>
  <c r="H189" i="39"/>
  <c r="H287" i="39"/>
  <c r="H446" i="39"/>
  <c r="H225" i="39"/>
  <c r="H305" i="5"/>
  <c r="H346" i="39"/>
  <c r="H424" i="39"/>
  <c r="H164" i="5"/>
  <c r="H307" i="39"/>
  <c r="H184" i="5"/>
  <c r="H291" i="39"/>
  <c r="H439" i="39"/>
  <c r="H351" i="5"/>
  <c r="H309" i="39"/>
  <c r="H299" i="39"/>
  <c r="H279" i="39"/>
  <c r="H296" i="39"/>
  <c r="H358" i="5"/>
  <c r="H322" i="39"/>
  <c r="H326" i="5"/>
  <c r="H445" i="39"/>
  <c r="H427" i="39"/>
  <c r="H204" i="5"/>
  <c r="H375" i="39"/>
  <c r="H323" i="39"/>
  <c r="H99" i="39"/>
  <c r="H198" i="5"/>
  <c r="H259" i="5"/>
  <c r="H233" i="39"/>
  <c r="H187" i="39"/>
  <c r="H100" i="39"/>
  <c r="H338" i="5"/>
  <c r="H177" i="39"/>
  <c r="H368" i="5"/>
  <c r="H208" i="5"/>
  <c r="H221" i="39"/>
  <c r="H366" i="5"/>
  <c r="H171" i="5"/>
  <c r="H199" i="5"/>
  <c r="H288" i="5"/>
  <c r="H384" i="39"/>
  <c r="H79" i="39"/>
  <c r="H82" i="39"/>
  <c r="H344" i="5"/>
  <c r="H291" i="5"/>
  <c r="H441" i="39"/>
  <c r="H316" i="39"/>
  <c r="H284" i="5"/>
  <c r="H219" i="39"/>
  <c r="H422" i="39"/>
  <c r="H124" i="5"/>
  <c r="H123" i="5"/>
  <c r="H331" i="5"/>
  <c r="H14" i="5"/>
  <c r="H97" i="5"/>
  <c r="H109" i="5"/>
  <c r="H97" i="39"/>
  <c r="H205" i="5"/>
  <c r="H317" i="5"/>
  <c r="H339" i="39"/>
  <c r="H346" i="5"/>
  <c r="H107" i="39"/>
  <c r="H360" i="39"/>
  <c r="H91" i="39"/>
  <c r="H412" i="39"/>
  <c r="H404" i="39"/>
  <c r="H311" i="39"/>
  <c r="H298" i="5"/>
  <c r="H267" i="5"/>
  <c r="H333" i="5"/>
  <c r="H382" i="39"/>
  <c r="H401" i="39"/>
  <c r="H6" i="5"/>
  <c r="H270" i="39"/>
  <c r="H389" i="39"/>
  <c r="H212" i="5"/>
  <c r="H312" i="5"/>
  <c r="H399" i="39"/>
  <c r="H357" i="5"/>
  <c r="H121" i="5"/>
  <c r="H206" i="39"/>
  <c r="H275" i="39"/>
  <c r="H359" i="5"/>
  <c r="H266" i="5"/>
  <c r="H337" i="5"/>
  <c r="H177" i="5"/>
  <c r="H356" i="5"/>
  <c r="H202" i="5"/>
  <c r="H337" i="39"/>
  <c r="H432" i="39"/>
  <c r="H374" i="39"/>
  <c r="H103" i="5"/>
  <c r="H223" i="39"/>
  <c r="H108" i="39"/>
  <c r="H113" i="5"/>
  <c r="H13" i="5"/>
  <c r="H150" i="5"/>
  <c r="H365" i="39"/>
  <c r="H179" i="39"/>
  <c r="H273" i="5"/>
  <c r="H16" i="5"/>
  <c r="H104" i="39"/>
  <c r="H328" i="39"/>
  <c r="H340" i="39"/>
  <c r="H155" i="5"/>
  <c r="H365" i="5"/>
  <c r="H102" i="39"/>
  <c r="H213" i="5"/>
  <c r="H264" i="5"/>
  <c r="H273" i="39"/>
  <c r="H295" i="5"/>
  <c r="H363" i="5"/>
  <c r="H195" i="39"/>
  <c r="H336" i="39"/>
  <c r="H209" i="5"/>
  <c r="H286" i="5"/>
  <c r="H242" i="39"/>
  <c r="H96" i="39"/>
  <c r="H321" i="5"/>
  <c r="H117" i="5"/>
  <c r="H345" i="39"/>
  <c r="H159" i="5"/>
  <c r="H331" i="39"/>
  <c r="I79" i="39"/>
  <c r="H161" i="5"/>
  <c r="H343" i="39"/>
  <c r="H209" i="39"/>
  <c r="H287" i="5"/>
  <c r="H288" i="39"/>
  <c r="H280" i="39"/>
  <c r="H214" i="39"/>
  <c r="H181" i="5"/>
  <c r="H444" i="39"/>
  <c r="H139" i="5"/>
  <c r="H21" i="5"/>
  <c r="H278" i="5"/>
  <c r="H8" i="5"/>
  <c r="H168" i="5"/>
  <c r="H345" i="5"/>
  <c r="H324" i="5"/>
  <c r="H421" i="39"/>
  <c r="H196" i="39"/>
  <c r="H167" i="5"/>
  <c r="H93" i="39"/>
  <c r="H253" i="5"/>
  <c r="H90" i="39"/>
  <c r="H199" i="39"/>
  <c r="H362" i="5"/>
  <c r="H241" i="39"/>
  <c r="H314" i="5"/>
  <c r="H317" i="39"/>
  <c r="H11" i="5"/>
  <c r="H182" i="5"/>
  <c r="H220" i="39"/>
  <c r="H393" i="39"/>
  <c r="H108" i="5"/>
  <c r="H348" i="5"/>
  <c r="H223" i="5"/>
  <c r="H237" i="39"/>
  <c r="H402" i="39"/>
  <c r="H344" i="39"/>
  <c r="H391" i="39"/>
  <c r="H126" i="5"/>
  <c r="H426" i="39"/>
  <c r="H353" i="39"/>
  <c r="H236" i="5"/>
  <c r="H190" i="5"/>
  <c r="H435" i="39"/>
  <c r="H339" i="5"/>
  <c r="H265" i="39"/>
  <c r="H112" i="5"/>
  <c r="H251" i="39"/>
  <c r="E79" i="39" l="1"/>
  <c r="R43" i="56"/>
  <c r="E312" i="39"/>
  <c r="B309" i="58"/>
  <c r="E335" i="39"/>
  <c r="B332" i="58"/>
  <c r="B306" i="58"/>
  <c r="E309" i="39"/>
  <c r="E324" i="39"/>
  <c r="B321" i="58"/>
  <c r="E307" i="39"/>
  <c r="B304" i="58"/>
  <c r="E325" i="39"/>
  <c r="B322" i="58"/>
  <c r="E316" i="39"/>
  <c r="B313" i="58"/>
  <c r="E337" i="39"/>
  <c r="B334" i="58"/>
  <c r="B323" i="58"/>
  <c r="E326" i="39"/>
  <c r="E320" i="39"/>
  <c r="B317" i="58"/>
  <c r="E311" i="39"/>
  <c r="B308" i="58"/>
  <c r="E329" i="39"/>
  <c r="B326" i="58"/>
  <c r="E308" i="39"/>
  <c r="B305" i="58"/>
  <c r="E319" i="39"/>
  <c r="B316" i="58"/>
  <c r="E330" i="39"/>
  <c r="B327" i="58"/>
  <c r="E313" i="39"/>
  <c r="B310" i="58"/>
  <c r="E322" i="39"/>
  <c r="B319" i="58"/>
  <c r="E321" i="39"/>
  <c r="B318" i="58"/>
  <c r="E317" i="39"/>
  <c r="B314" i="58"/>
  <c r="E318" i="39"/>
  <c r="B315" i="58"/>
  <c r="E331" i="39"/>
  <c r="B328" i="58"/>
  <c r="E314" i="39"/>
  <c r="B311" i="58"/>
  <c r="B330" i="58"/>
  <c r="E333" i="39"/>
  <c r="E336" i="39"/>
  <c r="B333" i="58"/>
  <c r="E323" i="39"/>
  <c r="B320" i="58"/>
  <c r="B307" i="58"/>
  <c r="E310" i="39"/>
  <c r="E334" i="39"/>
  <c r="B331" i="58"/>
  <c r="B324" i="58"/>
  <c r="E327" i="39"/>
  <c r="E332" i="39"/>
  <c r="B329" i="58"/>
  <c r="B312" i="58"/>
  <c r="E315" i="39"/>
  <c r="B325" i="58"/>
  <c r="E328" i="39"/>
  <c r="E234" i="39"/>
  <c r="B231" i="58"/>
  <c r="E251" i="39"/>
  <c r="B248" i="58"/>
  <c r="B234" i="58"/>
  <c r="E237" i="39"/>
  <c r="E242" i="39"/>
  <c r="B239" i="58"/>
  <c r="B226" i="58"/>
  <c r="E229" i="39"/>
  <c r="B243" i="58"/>
  <c r="E246" i="39"/>
  <c r="E233" i="39"/>
  <c r="B230" i="58"/>
  <c r="E250" i="39"/>
  <c r="B247" i="58"/>
  <c r="E238" i="39"/>
  <c r="B235" i="58"/>
  <c r="E227" i="39"/>
  <c r="B224" i="58"/>
  <c r="E241" i="39"/>
  <c r="B238" i="58"/>
  <c r="E228" i="39"/>
  <c r="B225" i="58"/>
  <c r="E239" i="39"/>
  <c r="B236" i="58"/>
  <c r="E230" i="39"/>
  <c r="B227" i="58"/>
  <c r="E244" i="39"/>
  <c r="B241" i="58"/>
  <c r="E232" i="39"/>
  <c r="B229" i="58"/>
  <c r="E249" i="39"/>
  <c r="B246" i="58"/>
  <c r="E236" i="39"/>
  <c r="B233" i="58"/>
  <c r="B242" i="58"/>
  <c r="E245" i="39"/>
  <c r="E240" i="39"/>
  <c r="B237" i="58"/>
  <c r="E231" i="39"/>
  <c r="B228" i="58"/>
  <c r="E226" i="39"/>
  <c r="B223" i="58"/>
  <c r="E248" i="39"/>
  <c r="B245" i="58"/>
  <c r="E247" i="39"/>
  <c r="B244" i="58"/>
  <c r="E235" i="39"/>
  <c r="B232" i="58"/>
  <c r="E243" i="39"/>
  <c r="B240" i="58"/>
  <c r="E89" i="39"/>
  <c r="B86" i="58"/>
  <c r="E106" i="39"/>
  <c r="B103" i="58"/>
  <c r="B100" i="58"/>
  <c r="E103" i="39"/>
  <c r="E97" i="39"/>
  <c r="B94" i="58"/>
  <c r="E80" i="39"/>
  <c r="B77" i="58"/>
  <c r="E84" i="39"/>
  <c r="B81" i="58"/>
  <c r="E86" i="39"/>
  <c r="B83" i="58"/>
  <c r="B76" i="58"/>
  <c r="E88" i="39"/>
  <c r="B85" i="58"/>
  <c r="E105" i="39"/>
  <c r="B102" i="58"/>
  <c r="E92" i="39"/>
  <c r="B89" i="58"/>
  <c r="B93" i="58"/>
  <c r="E96" i="39"/>
  <c r="E83" i="39"/>
  <c r="B80" i="58"/>
  <c r="E100" i="39"/>
  <c r="B97" i="58"/>
  <c r="E87" i="39"/>
  <c r="B84" i="58"/>
  <c r="E94" i="39"/>
  <c r="B91" i="58"/>
  <c r="E101" i="39"/>
  <c r="B98" i="58"/>
  <c r="B101" i="58"/>
  <c r="E104" i="39"/>
  <c r="E91" i="39"/>
  <c r="B88" i="58"/>
  <c r="E108" i="39"/>
  <c r="B105" i="58"/>
  <c r="B90" i="58"/>
  <c r="E93" i="39"/>
  <c r="E102" i="39"/>
  <c r="B99" i="58"/>
  <c r="E82" i="39"/>
  <c r="B79" i="58"/>
  <c r="E99" i="39"/>
  <c r="B96" i="58"/>
  <c r="E107" i="39"/>
  <c r="B104" i="58"/>
  <c r="E81" i="39"/>
  <c r="B78" i="58"/>
  <c r="E95" i="39"/>
  <c r="B92" i="58"/>
  <c r="E85" i="39"/>
  <c r="B82" i="58"/>
  <c r="E90" i="39"/>
  <c r="B87" i="58"/>
  <c r="E98" i="39"/>
  <c r="B95" i="58"/>
  <c r="B389" i="58"/>
  <c r="E392" i="39"/>
  <c r="B406" i="58"/>
  <c r="E409" i="39"/>
  <c r="E396" i="39"/>
  <c r="B393" i="58"/>
  <c r="E406" i="39"/>
  <c r="B403" i="58"/>
  <c r="E398" i="39"/>
  <c r="B395" i="58"/>
  <c r="E404" i="39"/>
  <c r="B401" i="58"/>
  <c r="E389" i="39"/>
  <c r="B386" i="58"/>
  <c r="E397" i="39"/>
  <c r="B394" i="58"/>
  <c r="E400" i="39"/>
  <c r="B397" i="58"/>
  <c r="E417" i="39"/>
  <c r="B414" i="58"/>
  <c r="E408" i="39"/>
  <c r="B405" i="58"/>
  <c r="E395" i="39"/>
  <c r="B392" i="58"/>
  <c r="E412" i="39"/>
  <c r="B409" i="58"/>
  <c r="E407" i="39"/>
  <c r="B404" i="58"/>
  <c r="E390" i="39"/>
  <c r="B387" i="58"/>
  <c r="E402" i="39"/>
  <c r="B399" i="58"/>
  <c r="E416" i="39"/>
  <c r="B413" i="58"/>
  <c r="B400" i="58"/>
  <c r="E403" i="39"/>
  <c r="B410" i="58"/>
  <c r="E413" i="39"/>
  <c r="E391" i="39"/>
  <c r="B388" i="58"/>
  <c r="E394" i="39"/>
  <c r="B391" i="58"/>
  <c r="E411" i="39"/>
  <c r="B408" i="58"/>
  <c r="B411" i="58"/>
  <c r="E414" i="39"/>
  <c r="E415" i="39"/>
  <c r="B412" i="58"/>
  <c r="E410" i="39"/>
  <c r="B407" i="58"/>
  <c r="B390" i="58"/>
  <c r="E393" i="39"/>
  <c r="E405" i="39"/>
  <c r="B402" i="58"/>
  <c r="E401" i="39"/>
  <c r="B398" i="58"/>
  <c r="E399" i="39"/>
  <c r="B396" i="58"/>
  <c r="B197" i="58"/>
  <c r="E200" i="39"/>
  <c r="E217" i="39"/>
  <c r="B214" i="58"/>
  <c r="B201" i="58"/>
  <c r="E204" i="39"/>
  <c r="B203" i="58"/>
  <c r="E206" i="39"/>
  <c r="E225" i="39"/>
  <c r="B222" i="58"/>
  <c r="E208" i="39"/>
  <c r="B205" i="58"/>
  <c r="E212" i="39"/>
  <c r="B209" i="58"/>
  <c r="E215" i="39"/>
  <c r="B212" i="58"/>
  <c r="B213" i="58"/>
  <c r="E216" i="39"/>
  <c r="E203" i="39"/>
  <c r="B200" i="58"/>
  <c r="E220" i="39"/>
  <c r="B217" i="58"/>
  <c r="B218" i="58"/>
  <c r="E221" i="39"/>
  <c r="B196" i="58"/>
  <c r="E199" i="39"/>
  <c r="E210" i="39"/>
  <c r="B207" i="58"/>
  <c r="B221" i="58"/>
  <c r="E224" i="39"/>
  <c r="E211" i="39"/>
  <c r="B208" i="58"/>
  <c r="B219" i="58"/>
  <c r="E222" i="39"/>
  <c r="E213" i="39"/>
  <c r="B210" i="58"/>
  <c r="E202" i="39"/>
  <c r="B199" i="58"/>
  <c r="E219" i="39"/>
  <c r="B216" i="58"/>
  <c r="B202" i="58"/>
  <c r="E205" i="39"/>
  <c r="E218" i="39"/>
  <c r="B215" i="58"/>
  <c r="B220" i="58"/>
  <c r="E223" i="39"/>
  <c r="E207" i="39"/>
  <c r="B204" i="58"/>
  <c r="E209" i="39"/>
  <c r="B206" i="58"/>
  <c r="E201" i="39"/>
  <c r="B198" i="58"/>
  <c r="E214" i="39"/>
  <c r="B211" i="58"/>
  <c r="E379" i="39"/>
  <c r="B376" i="58"/>
  <c r="E387" i="39"/>
  <c r="B384" i="58"/>
  <c r="E372" i="39"/>
  <c r="B369" i="58"/>
  <c r="E370" i="39"/>
  <c r="B367" i="58"/>
  <c r="E367" i="39"/>
  <c r="B364" i="58"/>
  <c r="E378" i="39"/>
  <c r="B375" i="58"/>
  <c r="E373" i="39"/>
  <c r="B370" i="58"/>
  <c r="E381" i="39"/>
  <c r="B378" i="58"/>
  <c r="E369" i="39"/>
  <c r="B366" i="58"/>
  <c r="E386" i="39"/>
  <c r="B383" i="58"/>
  <c r="E375" i="39"/>
  <c r="B372" i="58"/>
  <c r="E377" i="39"/>
  <c r="B374" i="58"/>
  <c r="E368" i="39"/>
  <c r="B365" i="58"/>
  <c r="E385" i="39"/>
  <c r="B382" i="58"/>
  <c r="E382" i="39"/>
  <c r="B379" i="58"/>
  <c r="E371" i="39"/>
  <c r="B368" i="58"/>
  <c r="E374" i="39"/>
  <c r="B371" i="58"/>
  <c r="E383" i="39"/>
  <c r="B380" i="58"/>
  <c r="E388" i="39"/>
  <c r="B385" i="58"/>
  <c r="E380" i="39"/>
  <c r="B377" i="58"/>
  <c r="B373" i="58"/>
  <c r="E376" i="39"/>
  <c r="E384" i="39"/>
  <c r="B381" i="58"/>
  <c r="B423" i="58"/>
  <c r="E426" i="39"/>
  <c r="E443" i="39"/>
  <c r="B440" i="58"/>
  <c r="E446" i="39"/>
  <c r="B443" i="58"/>
  <c r="E422" i="39"/>
  <c r="B419" i="58"/>
  <c r="E434" i="39"/>
  <c r="B431" i="58"/>
  <c r="E429" i="39"/>
  <c r="B426" i="58"/>
  <c r="E437" i="39"/>
  <c r="B434" i="58"/>
  <c r="E425" i="39"/>
  <c r="B422" i="58"/>
  <c r="E442" i="39"/>
  <c r="B439" i="58"/>
  <c r="E447" i="39"/>
  <c r="B444" i="58"/>
  <c r="E445" i="39"/>
  <c r="B442" i="58"/>
  <c r="B418" i="58"/>
  <c r="E421" i="39"/>
  <c r="E436" i="39"/>
  <c r="B433" i="58"/>
  <c r="E433" i="39"/>
  <c r="B430" i="58"/>
  <c r="E420" i="39"/>
  <c r="B417" i="58"/>
  <c r="E430" i="39"/>
  <c r="B427" i="58"/>
  <c r="E439" i="39"/>
  <c r="B436" i="58"/>
  <c r="E432" i="39"/>
  <c r="B429" i="58"/>
  <c r="E419" i="39"/>
  <c r="B416" i="58"/>
  <c r="E424" i="39"/>
  <c r="B421" i="58"/>
  <c r="E441" i="39"/>
  <c r="B438" i="58"/>
  <c r="E428" i="39"/>
  <c r="B425" i="58"/>
  <c r="E431" i="39"/>
  <c r="B428" i="58"/>
  <c r="E438" i="39"/>
  <c r="B435" i="58"/>
  <c r="E440" i="39"/>
  <c r="B437" i="58"/>
  <c r="E418" i="39"/>
  <c r="B415" i="58"/>
  <c r="E427" i="39"/>
  <c r="B424" i="58"/>
  <c r="E444" i="39"/>
  <c r="B441" i="58"/>
  <c r="E435" i="39"/>
  <c r="B432" i="58"/>
  <c r="E423" i="39"/>
  <c r="B420" i="58"/>
  <c r="E345" i="39"/>
  <c r="B342" i="58"/>
  <c r="E362" i="39"/>
  <c r="B359" i="58"/>
  <c r="E366" i="39"/>
  <c r="B363" i="58"/>
  <c r="B346" i="58"/>
  <c r="E349" i="39"/>
  <c r="E353" i="39"/>
  <c r="B350" i="58"/>
  <c r="E358" i="39"/>
  <c r="B355" i="58"/>
  <c r="E340" i="39"/>
  <c r="B337" i="58"/>
  <c r="E350" i="39"/>
  <c r="B347" i="58"/>
  <c r="E344" i="39"/>
  <c r="B341" i="58"/>
  <c r="E361" i="39"/>
  <c r="B358" i="58"/>
  <c r="E348" i="39"/>
  <c r="B345" i="58"/>
  <c r="E352" i="39"/>
  <c r="B349" i="58"/>
  <c r="E339" i="39"/>
  <c r="B336" i="58"/>
  <c r="E356" i="39"/>
  <c r="B353" i="58"/>
  <c r="E341" i="39"/>
  <c r="B338" i="58"/>
  <c r="E357" i="39"/>
  <c r="B354" i="58"/>
  <c r="E338" i="39"/>
  <c r="B335" i="58"/>
  <c r="E342" i="39"/>
  <c r="B339" i="58"/>
  <c r="E360" i="39"/>
  <c r="B357" i="58"/>
  <c r="E347" i="39"/>
  <c r="B344" i="58"/>
  <c r="E364" i="39"/>
  <c r="B361" i="58"/>
  <c r="E359" i="39"/>
  <c r="B356" i="58"/>
  <c r="E355" i="39"/>
  <c r="B352" i="58"/>
  <c r="E351" i="39"/>
  <c r="B348" i="58"/>
  <c r="E363" i="39"/>
  <c r="B360" i="58"/>
  <c r="E354" i="39"/>
  <c r="B351" i="58"/>
  <c r="E343" i="39"/>
  <c r="B340" i="58"/>
  <c r="B362" i="58"/>
  <c r="E365" i="39"/>
  <c r="E346" i="39"/>
  <c r="B343" i="58"/>
  <c r="E264" i="39"/>
  <c r="B261" i="58"/>
  <c r="B278" i="58"/>
  <c r="E281" i="39"/>
  <c r="E298" i="39"/>
  <c r="B295" i="58"/>
  <c r="E268" i="39"/>
  <c r="B265" i="58"/>
  <c r="E277" i="39"/>
  <c r="B274" i="58"/>
  <c r="B267" i="58"/>
  <c r="E270" i="39"/>
  <c r="E272" i="39"/>
  <c r="B269" i="58"/>
  <c r="E276" i="39"/>
  <c r="B273" i="58"/>
  <c r="E295" i="39"/>
  <c r="B292" i="58"/>
  <c r="E255" i="39"/>
  <c r="B252" i="58"/>
  <c r="B266" i="58"/>
  <c r="E269" i="39"/>
  <c r="E289" i="39"/>
  <c r="B286" i="58"/>
  <c r="E259" i="39"/>
  <c r="B256" i="58"/>
  <c r="E280" i="39"/>
  <c r="B277" i="58"/>
  <c r="E297" i="39"/>
  <c r="B294" i="58"/>
  <c r="E267" i="39"/>
  <c r="B264" i="58"/>
  <c r="E284" i="39"/>
  <c r="B281" i="58"/>
  <c r="E278" i="39"/>
  <c r="B275" i="58"/>
  <c r="E294" i="39"/>
  <c r="B291" i="58"/>
  <c r="B260" i="58"/>
  <c r="E263" i="39"/>
  <c r="E253" i="39"/>
  <c r="B250" i="58"/>
  <c r="B285" i="58"/>
  <c r="E288" i="39"/>
  <c r="E258" i="39"/>
  <c r="B255" i="58"/>
  <c r="E275" i="39"/>
  <c r="B272" i="58"/>
  <c r="E292" i="39"/>
  <c r="B289" i="58"/>
  <c r="E261" i="39"/>
  <c r="B258" i="58"/>
  <c r="E257" i="39"/>
  <c r="B254" i="58"/>
  <c r="B293" i="58"/>
  <c r="E296" i="39"/>
  <c r="E266" i="39"/>
  <c r="B263" i="58"/>
  <c r="E283" i="39"/>
  <c r="B280" i="58"/>
  <c r="E300" i="39"/>
  <c r="B297" i="58"/>
  <c r="E279" i="39"/>
  <c r="B276" i="58"/>
  <c r="B259" i="58"/>
  <c r="E262" i="39"/>
  <c r="E293" i="39"/>
  <c r="B290" i="58"/>
  <c r="E274" i="39"/>
  <c r="B271" i="58"/>
  <c r="B282" i="58"/>
  <c r="E285" i="39"/>
  <c r="E291" i="39"/>
  <c r="B288" i="58"/>
  <c r="E252" i="39"/>
  <c r="B249" i="58"/>
  <c r="E271" i="39"/>
  <c r="B268" i="58"/>
  <c r="E260" i="39"/>
  <c r="B257" i="58"/>
  <c r="E254" i="39"/>
  <c r="B251" i="58"/>
  <c r="E299" i="39"/>
  <c r="B296" i="58"/>
  <c r="E282" i="39"/>
  <c r="B279" i="58"/>
  <c r="B283" i="58"/>
  <c r="E286" i="39"/>
  <c r="E287" i="39"/>
  <c r="B284" i="58"/>
  <c r="B253" i="58"/>
  <c r="E256" i="39"/>
  <c r="E290" i="39"/>
  <c r="B287" i="58"/>
  <c r="E265" i="39"/>
  <c r="B262" i="58"/>
  <c r="E273" i="39"/>
  <c r="B270" i="58"/>
  <c r="E196" i="39"/>
  <c r="B193" i="58"/>
  <c r="E188" i="39"/>
  <c r="B185" i="58"/>
  <c r="E191" i="39"/>
  <c r="B188" i="58"/>
  <c r="E179" i="39"/>
  <c r="B176" i="58"/>
  <c r="E189" i="39"/>
  <c r="B186" i="58"/>
  <c r="B189" i="58"/>
  <c r="E192" i="39"/>
  <c r="E174" i="39"/>
  <c r="B171" i="58"/>
  <c r="E184" i="39"/>
  <c r="B181" i="58"/>
  <c r="E173" i="39"/>
  <c r="B170" i="58"/>
  <c r="E193" i="39"/>
  <c r="B190" i="58"/>
  <c r="E176" i="39"/>
  <c r="B173" i="58"/>
  <c r="E190" i="39"/>
  <c r="B187" i="58"/>
  <c r="E172" i="39"/>
  <c r="B169" i="58"/>
  <c r="E185" i="39"/>
  <c r="B182" i="58"/>
  <c r="E194" i="39"/>
  <c r="B191" i="58"/>
  <c r="E177" i="39"/>
  <c r="B174" i="58"/>
  <c r="E180" i="39"/>
  <c r="B177" i="58"/>
  <c r="E182" i="39"/>
  <c r="B179" i="58"/>
  <c r="E186" i="39"/>
  <c r="B183" i="58"/>
  <c r="E178" i="39"/>
  <c r="B175" i="58"/>
  <c r="E181" i="39"/>
  <c r="B178" i="58"/>
  <c r="B195" i="58"/>
  <c r="E198" i="39"/>
  <c r="E195" i="39"/>
  <c r="B192" i="58"/>
  <c r="E183" i="39"/>
  <c r="B180" i="58"/>
  <c r="E175" i="39"/>
  <c r="B172" i="58"/>
  <c r="B194" i="58"/>
  <c r="E197" i="39"/>
  <c r="E187" i="39"/>
  <c r="B184" i="58"/>
  <c r="I39" i="6"/>
  <c r="I26" i="6"/>
  <c r="I9" i="6"/>
  <c r="F47" i="1"/>
  <c r="F32" i="1"/>
  <c r="F32" i="6"/>
  <c r="E92" i="16" l="1"/>
  <c r="E72" i="16"/>
  <c r="E91" i="16"/>
  <c r="E89" i="16"/>
  <c r="E30" i="16"/>
  <c r="E10" i="16"/>
  <c r="C14" i="16"/>
  <c r="E9" i="16"/>
  <c r="E41" i="16"/>
  <c r="E57" i="16"/>
  <c r="E42" i="16"/>
  <c r="E90" i="16"/>
  <c r="E43" i="16"/>
  <c r="E68" i="16"/>
  <c r="D39" i="16"/>
  <c r="E11" i="16"/>
  <c r="D53" i="16"/>
  <c r="E70" i="16"/>
  <c r="C6" i="16"/>
  <c r="D65" i="16"/>
  <c r="E29" i="16"/>
  <c r="E36" i="16"/>
  <c r="D86" i="16"/>
  <c r="E69" i="16"/>
  <c r="E34" i="16"/>
  <c r="E32" i="16"/>
  <c r="E35" i="16"/>
  <c r="E73" i="16"/>
  <c r="E94" i="16"/>
  <c r="E59" i="16"/>
  <c r="E71" i="16"/>
  <c r="D13" i="16"/>
  <c r="E33" i="16"/>
  <c r="E58" i="16"/>
  <c r="E31" i="16"/>
  <c r="E37" i="16"/>
  <c r="E56" i="16"/>
  <c r="E7" i="16"/>
  <c r="E8" i="16"/>
  <c r="E93" i="16"/>
  <c r="C4" i="16"/>
  <c r="AA226" i="5"/>
  <c r="AA229" i="5"/>
  <c r="AA227" i="5"/>
  <c r="AA228" i="5"/>
  <c r="AA225" i="5"/>
  <c r="AA224" i="5"/>
  <c r="H120" i="39"/>
  <c r="H111" i="39"/>
  <c r="H158" i="39"/>
  <c r="H41" i="5"/>
  <c r="H138" i="39"/>
  <c r="H81" i="5"/>
  <c r="H136" i="39"/>
  <c r="H131" i="39"/>
  <c r="H127" i="39"/>
  <c r="H116" i="39"/>
  <c r="H59" i="5"/>
  <c r="H82" i="5"/>
  <c r="H38" i="5"/>
  <c r="H66" i="5"/>
  <c r="H113" i="39"/>
  <c r="H143" i="39"/>
  <c r="H157" i="39"/>
  <c r="H69" i="5"/>
  <c r="H125" i="39"/>
  <c r="H51" i="5"/>
  <c r="H57" i="5"/>
  <c r="H130" i="39"/>
  <c r="H40" i="5"/>
  <c r="H70" i="5"/>
  <c r="H85" i="5"/>
  <c r="H156" i="39"/>
  <c r="H36" i="5"/>
  <c r="H52" i="5"/>
  <c r="H62" i="5"/>
  <c r="H44" i="5"/>
  <c r="H65" i="5"/>
  <c r="H60" i="5"/>
  <c r="H162" i="39"/>
  <c r="H132" i="39"/>
  <c r="H84" i="5"/>
  <c r="H110" i="39"/>
  <c r="H63" i="5"/>
  <c r="H135" i="39"/>
  <c r="H67" i="5"/>
  <c r="H119" i="39"/>
  <c r="H71" i="5"/>
  <c r="H148" i="39"/>
  <c r="H122" i="39"/>
  <c r="H152" i="39"/>
  <c r="H123" i="39"/>
  <c r="H83" i="5"/>
  <c r="H53" i="5"/>
  <c r="H141" i="39"/>
  <c r="H133" i="39"/>
  <c r="H78" i="5"/>
  <c r="H160" i="39"/>
  <c r="H55" i="5"/>
  <c r="H73" i="5"/>
  <c r="H147" i="39"/>
  <c r="H43" i="5"/>
  <c r="H140" i="39"/>
  <c r="H32" i="5"/>
  <c r="H46" i="5"/>
  <c r="H142" i="39"/>
  <c r="H154" i="39"/>
  <c r="H159" i="39"/>
  <c r="H144" i="39"/>
  <c r="H139" i="39"/>
  <c r="H49" i="5"/>
  <c r="H112" i="39"/>
  <c r="H150" i="39"/>
  <c r="H76" i="5"/>
  <c r="H117" i="39"/>
  <c r="H35" i="5"/>
  <c r="H47" i="5"/>
  <c r="H114" i="39"/>
  <c r="H79" i="5"/>
  <c r="H118" i="39"/>
  <c r="H151" i="39"/>
  <c r="H80" i="5"/>
  <c r="H68" i="5"/>
  <c r="H58" i="5"/>
  <c r="H134" i="39"/>
  <c r="H145" i="39"/>
  <c r="H34" i="5"/>
  <c r="H124" i="39"/>
  <c r="H153" i="39"/>
  <c r="H48" i="5"/>
  <c r="H75" i="5"/>
  <c r="H149" i="39"/>
  <c r="H74" i="5"/>
  <c r="H42" i="5"/>
  <c r="H61" i="5"/>
  <c r="H115" i="39"/>
  <c r="H33" i="5"/>
  <c r="H56" i="5"/>
  <c r="H109" i="39"/>
  <c r="H45" i="5"/>
  <c r="H121" i="39"/>
  <c r="H129" i="39"/>
  <c r="H39" i="5"/>
  <c r="H128" i="39"/>
  <c r="H77" i="5"/>
  <c r="H54" i="5"/>
  <c r="H64" i="5"/>
  <c r="H50" i="5"/>
  <c r="H161" i="39"/>
  <c r="H37" i="5"/>
  <c r="H146" i="39"/>
  <c r="H137" i="39"/>
  <c r="H155" i="39"/>
  <c r="H126" i="39"/>
  <c r="H72" i="5"/>
  <c r="B133" i="58" l="1"/>
  <c r="E136" i="39"/>
  <c r="E153" i="39"/>
  <c r="B150" i="58"/>
  <c r="E123" i="39"/>
  <c r="B120" i="58"/>
  <c r="E140" i="39"/>
  <c r="B137" i="58"/>
  <c r="B155" i="58"/>
  <c r="E158" i="39"/>
  <c r="E114" i="39"/>
  <c r="B111" i="58"/>
  <c r="E148" i="39"/>
  <c r="B145" i="58"/>
  <c r="E119" i="39"/>
  <c r="B116" i="58"/>
  <c r="B108" i="58"/>
  <c r="E111" i="39"/>
  <c r="E144" i="39"/>
  <c r="B141" i="58"/>
  <c r="E161" i="39"/>
  <c r="B158" i="58"/>
  <c r="E131" i="39"/>
  <c r="B128" i="58"/>
  <c r="E126" i="39"/>
  <c r="B123" i="58"/>
  <c r="B138" i="58"/>
  <c r="E141" i="39"/>
  <c r="B149" i="58"/>
  <c r="E152" i="39"/>
  <c r="E122" i="39"/>
  <c r="B119" i="58"/>
  <c r="E139" i="39"/>
  <c r="B136" i="58"/>
  <c r="E156" i="39"/>
  <c r="B153" i="58"/>
  <c r="E149" i="39"/>
  <c r="B146" i="58"/>
  <c r="B106" i="58"/>
  <c r="E109" i="39"/>
  <c r="E129" i="39"/>
  <c r="B126" i="58"/>
  <c r="E133" i="39"/>
  <c r="B130" i="58"/>
  <c r="B157" i="58"/>
  <c r="E160" i="39"/>
  <c r="E113" i="39"/>
  <c r="B110" i="58"/>
  <c r="E130" i="39"/>
  <c r="B127" i="58"/>
  <c r="E147" i="39"/>
  <c r="B144" i="58"/>
  <c r="E127" i="39"/>
  <c r="B124" i="58"/>
  <c r="E118" i="39"/>
  <c r="B115" i="58"/>
  <c r="E142" i="39"/>
  <c r="B139" i="58"/>
  <c r="E146" i="39"/>
  <c r="B143" i="58"/>
  <c r="E121" i="39"/>
  <c r="B118" i="58"/>
  <c r="E138" i="39"/>
  <c r="B135" i="58"/>
  <c r="E155" i="39"/>
  <c r="B152" i="58"/>
  <c r="E150" i="39"/>
  <c r="B147" i="58"/>
  <c r="E110" i="39"/>
  <c r="B107" i="58"/>
  <c r="E112" i="39"/>
  <c r="B109" i="58"/>
  <c r="E116" i="39"/>
  <c r="B113" i="58"/>
  <c r="E151" i="39"/>
  <c r="B148" i="58"/>
  <c r="B114" i="58"/>
  <c r="E117" i="39"/>
  <c r="E132" i="39"/>
  <c r="B129" i="58"/>
  <c r="E120" i="39"/>
  <c r="B117" i="58"/>
  <c r="B156" i="58"/>
  <c r="E159" i="39"/>
  <c r="E115" i="39"/>
  <c r="B112" i="58"/>
  <c r="E135" i="39"/>
  <c r="B132" i="58"/>
  <c r="E143" i="39"/>
  <c r="B140" i="58"/>
  <c r="E162" i="39"/>
  <c r="B159" i="58"/>
  <c r="E137" i="39"/>
  <c r="B134" i="58"/>
  <c r="E125" i="39"/>
  <c r="B122" i="58"/>
  <c r="B125" i="58"/>
  <c r="E128" i="39"/>
  <c r="E145" i="39"/>
  <c r="B142" i="58"/>
  <c r="B154" i="58"/>
  <c r="E157" i="39"/>
  <c r="E154" i="39"/>
  <c r="B151" i="58"/>
  <c r="E124" i="39"/>
  <c r="B121" i="58"/>
  <c r="E134" i="39"/>
  <c r="B131" i="58"/>
  <c r="C30" i="6"/>
  <c r="C32" i="6"/>
  <c r="C31" i="6" l="1"/>
  <c r="C29" i="6"/>
  <c r="C33" i="6"/>
  <c r="C34" i="6"/>
  <c r="I2" i="5" l="1"/>
  <c r="N35" i="5"/>
  <c r="L35" i="5"/>
  <c r="M35" i="5"/>
  <c r="E2" i="49" l="1"/>
  <c r="G2" i="49" s="1"/>
  <c r="AA2" i="5"/>
  <c r="O35" i="5"/>
  <c r="B52" i="58" l="1"/>
  <c r="E55" i="39"/>
  <c r="H55" i="39"/>
  <c r="Y227" i="5"/>
  <c r="AB227" i="5" s="1"/>
  <c r="Y225" i="5"/>
  <c r="AB225" i="5" s="1"/>
  <c r="Y228" i="5"/>
  <c r="AB228" i="5" s="1"/>
  <c r="Y224" i="5"/>
  <c r="AB224" i="5" s="1"/>
  <c r="Y226" i="5"/>
  <c r="AB226" i="5" s="1"/>
  <c r="E28" i="34"/>
  <c r="Y229" i="5"/>
  <c r="AB229" i="5" s="1"/>
  <c r="H7" i="1"/>
  <c r="I49" i="5" l="1"/>
  <c r="AA49" i="5" l="1"/>
  <c r="E118" i="49"/>
  <c r="G118" i="49" s="1"/>
  <c r="E117" i="49"/>
  <c r="G117" i="49" s="1"/>
  <c r="E119" i="49"/>
  <c r="G119" i="49" s="1"/>
  <c r="I353" i="5" l="1"/>
  <c r="I155" i="5"/>
  <c r="I105" i="5"/>
  <c r="I335" i="5"/>
  <c r="F8" i="51"/>
  <c r="I60" i="5"/>
  <c r="I50" i="5"/>
  <c r="I357" i="5"/>
  <c r="I42" i="5"/>
  <c r="I173" i="5"/>
  <c r="N12" i="51"/>
  <c r="I293" i="5"/>
  <c r="I29" i="5"/>
  <c r="AA29" i="5" s="1"/>
  <c r="H11" i="51"/>
  <c r="I146" i="5"/>
  <c r="I125" i="5"/>
  <c r="I139" i="5"/>
  <c r="I337" i="5"/>
  <c r="F10" i="51"/>
  <c r="I8" i="5"/>
  <c r="I94" i="5"/>
  <c r="AA41" i="56"/>
  <c r="AA39" i="56"/>
  <c r="AA42" i="56"/>
  <c r="I32" i="5"/>
  <c r="AA43" i="56"/>
  <c r="AA40" i="56"/>
  <c r="G13" i="51"/>
  <c r="I260" i="5"/>
  <c r="I347" i="5"/>
  <c r="I182" i="5"/>
  <c r="I11" i="5"/>
  <c r="I19" i="5"/>
  <c r="I89" i="5"/>
  <c r="I239" i="5"/>
  <c r="I220" i="5"/>
  <c r="J10" i="51"/>
  <c r="I296" i="5"/>
  <c r="F11" i="51"/>
  <c r="I338" i="5"/>
  <c r="AA338" i="5" s="1"/>
  <c r="I273" i="5"/>
  <c r="I342" i="5"/>
  <c r="I190" i="5"/>
  <c r="I64" i="5"/>
  <c r="I107" i="5"/>
  <c r="I331" i="5"/>
  <c r="I298" i="5"/>
  <c r="W30" i="56"/>
  <c r="W28" i="56"/>
  <c r="I265" i="5"/>
  <c r="W29" i="56"/>
  <c r="W31" i="56"/>
  <c r="W27" i="56"/>
  <c r="S41" i="56"/>
  <c r="S42" i="56"/>
  <c r="S39" i="56"/>
  <c r="I86" i="5"/>
  <c r="S40" i="56"/>
  <c r="S43" i="56"/>
  <c r="I305" i="5"/>
  <c r="I326" i="5"/>
  <c r="I218" i="5"/>
  <c r="J8" i="51"/>
  <c r="I323" i="5"/>
  <c r="I199" i="5"/>
  <c r="I37" i="5"/>
  <c r="I72" i="5"/>
  <c r="I295" i="5"/>
  <c r="I206" i="5"/>
  <c r="I251" i="5"/>
  <c r="I186" i="5"/>
  <c r="I185" i="5"/>
  <c r="H10" i="51"/>
  <c r="I28" i="5"/>
  <c r="L10" i="51"/>
  <c r="I367" i="5"/>
  <c r="L11" i="51"/>
  <c r="I368" i="5"/>
  <c r="AA368" i="5" s="1"/>
  <c r="I280" i="5"/>
  <c r="I363" i="5"/>
  <c r="I13" i="5"/>
  <c r="I160" i="5"/>
  <c r="AA160" i="5" s="1"/>
  <c r="I77" i="5"/>
  <c r="I366" i="5"/>
  <c r="AA366" i="5" s="1"/>
  <c r="L9" i="51"/>
  <c r="I170" i="5"/>
  <c r="AA170" i="5" s="1"/>
  <c r="N9" i="51"/>
  <c r="J11" i="51"/>
  <c r="I221" i="5"/>
  <c r="I236" i="5"/>
  <c r="I271" i="5"/>
  <c r="I330" i="5"/>
  <c r="AA330" i="5" s="1"/>
  <c r="I279" i="5"/>
  <c r="I73" i="5"/>
  <c r="M10" i="51"/>
  <c r="I82" i="5"/>
  <c r="I207" i="5"/>
  <c r="I39" i="5"/>
  <c r="I34" i="5"/>
  <c r="I302" i="5"/>
  <c r="I249" i="5"/>
  <c r="I282" i="5"/>
  <c r="I8" i="51"/>
  <c r="I284" i="5"/>
  <c r="I370" i="5"/>
  <c r="L13" i="51"/>
  <c r="I12" i="5"/>
  <c r="I153" i="5"/>
  <c r="AA153" i="5" s="1"/>
  <c r="I16" i="5"/>
  <c r="I268" i="5"/>
  <c r="I71" i="5"/>
  <c r="I36" i="5"/>
  <c r="I57" i="5"/>
  <c r="I210" i="5"/>
  <c r="I235" i="5"/>
  <c r="I340" i="5"/>
  <c r="F13" i="51"/>
  <c r="I327" i="5"/>
  <c r="I202" i="5"/>
  <c r="Y33" i="56"/>
  <c r="Y37" i="56"/>
  <c r="I292" i="5"/>
  <c r="Y35" i="56"/>
  <c r="Y34" i="56"/>
  <c r="Y36" i="56"/>
  <c r="I68" i="5"/>
  <c r="I67" i="5"/>
  <c r="I9" i="5"/>
  <c r="I96" i="5"/>
  <c r="I213" i="5"/>
  <c r="I35" i="5"/>
  <c r="I359" i="5"/>
  <c r="AB43" i="56"/>
  <c r="AB40" i="56"/>
  <c r="AB42" i="56"/>
  <c r="I149" i="5"/>
  <c r="AB39" i="56"/>
  <c r="AB41" i="56"/>
  <c r="R37" i="56"/>
  <c r="I126" i="5"/>
  <c r="R33" i="56"/>
  <c r="R35" i="56"/>
  <c r="R34" i="56"/>
  <c r="R36" i="56"/>
  <c r="I59" i="5"/>
  <c r="I259" i="5"/>
  <c r="G12" i="51"/>
  <c r="I241" i="5"/>
  <c r="I162" i="5"/>
  <c r="I7" i="5"/>
  <c r="I238" i="5"/>
  <c r="I329" i="5"/>
  <c r="N8" i="51"/>
  <c r="I169" i="5"/>
  <c r="I208" i="5"/>
  <c r="I267" i="5"/>
  <c r="I291" i="5"/>
  <c r="Z30" i="56"/>
  <c r="Z27" i="56"/>
  <c r="Z29" i="56"/>
  <c r="Z31" i="56"/>
  <c r="I345" i="5"/>
  <c r="Z28" i="56"/>
  <c r="I164" i="5"/>
  <c r="I364" i="5"/>
  <c r="I98" i="5"/>
  <c r="I103" i="5"/>
  <c r="I179" i="5"/>
  <c r="I127" i="5"/>
  <c r="W42" i="56"/>
  <c r="W43" i="56"/>
  <c r="W39" i="56"/>
  <c r="W41" i="56"/>
  <c r="I261" i="5"/>
  <c r="W40" i="56"/>
  <c r="I192" i="5"/>
  <c r="I132" i="5"/>
  <c r="I200" i="5"/>
  <c r="I140" i="5"/>
  <c r="I196" i="5"/>
  <c r="I90" i="5"/>
  <c r="I23" i="5"/>
  <c r="I313" i="5"/>
  <c r="H9" i="51"/>
  <c r="I27" i="5"/>
  <c r="I111" i="5"/>
  <c r="I129" i="5"/>
  <c r="R29" i="56"/>
  <c r="R28" i="56"/>
  <c r="R30" i="56"/>
  <c r="R27" i="56"/>
  <c r="R31" i="56"/>
  <c r="I46" i="5"/>
  <c r="I344" i="5"/>
  <c r="AB35" i="56"/>
  <c r="AB37" i="56"/>
  <c r="AB33" i="56"/>
  <c r="AB36" i="56"/>
  <c r="I150" i="5"/>
  <c r="AB34" i="56"/>
  <c r="I180" i="5"/>
  <c r="I277" i="5"/>
  <c r="I252" i="5"/>
  <c r="I243" i="5"/>
  <c r="I233" i="5"/>
  <c r="I263" i="5"/>
  <c r="I325" i="5"/>
  <c r="I317" i="5"/>
  <c r="I361" i="5"/>
  <c r="I264" i="5"/>
  <c r="I350" i="5"/>
  <c r="I14" i="5"/>
  <c r="I194" i="5"/>
  <c r="I69" i="5"/>
  <c r="I204" i="5"/>
  <c r="I166" i="5"/>
  <c r="AA166" i="5" s="1"/>
  <c r="I266" i="5"/>
  <c r="I240" i="5"/>
  <c r="I334" i="5"/>
  <c r="I56" i="5"/>
  <c r="I308" i="5"/>
  <c r="K10" i="51"/>
  <c r="I112" i="5"/>
  <c r="V30" i="56"/>
  <c r="V27" i="56"/>
  <c r="I15" i="5"/>
  <c r="V28" i="56"/>
  <c r="V31" i="56"/>
  <c r="V29" i="56"/>
  <c r="I70" i="5"/>
  <c r="I250" i="5"/>
  <c r="I246" i="5"/>
  <c r="E8" i="51"/>
  <c r="I116" i="5"/>
  <c r="I356" i="5"/>
  <c r="I354" i="5"/>
  <c r="I217" i="5"/>
  <c r="I203" i="5"/>
  <c r="AB29" i="56"/>
  <c r="I156" i="5"/>
  <c r="AB27" i="56"/>
  <c r="AB30" i="56"/>
  <c r="AB31" i="56"/>
  <c r="AB28" i="56"/>
  <c r="I262" i="5"/>
  <c r="W36" i="56"/>
  <c r="W34" i="56"/>
  <c r="W35" i="56"/>
  <c r="W33" i="56"/>
  <c r="W37" i="56"/>
  <c r="I76" i="5"/>
  <c r="I247" i="5"/>
  <c r="Z35" i="56"/>
  <c r="Z34" i="56"/>
  <c r="I343" i="5"/>
  <c r="Z36" i="56"/>
  <c r="Z37" i="56"/>
  <c r="Z33" i="56"/>
  <c r="J13" i="51"/>
  <c r="I223" i="5"/>
  <c r="I232" i="5"/>
  <c r="R40" i="56"/>
  <c r="R42" i="56"/>
  <c r="R41" i="56"/>
  <c r="R39" i="56"/>
  <c r="I122" i="5"/>
  <c r="I142" i="5"/>
  <c r="I324" i="5"/>
  <c r="G9" i="51"/>
  <c r="I256" i="5"/>
  <c r="I244" i="5"/>
  <c r="I137" i="5"/>
  <c r="S36" i="56"/>
  <c r="S35" i="56"/>
  <c r="S37" i="56"/>
  <c r="I87" i="5"/>
  <c r="S33" i="56"/>
  <c r="S34" i="56"/>
  <c r="I54" i="5"/>
  <c r="I124" i="5"/>
  <c r="I183" i="5"/>
  <c r="I148" i="5"/>
  <c r="I53" i="5"/>
  <c r="I212" i="5"/>
  <c r="I165" i="5"/>
  <c r="G10" i="51"/>
  <c r="I257" i="5"/>
  <c r="I147" i="5"/>
  <c r="I348" i="5"/>
  <c r="I278" i="5"/>
  <c r="AA278" i="5" s="1"/>
  <c r="I306" i="5"/>
  <c r="K8" i="51"/>
  <c r="I41" i="5"/>
  <c r="AA41" i="5" s="1"/>
  <c r="I283" i="5"/>
  <c r="AA283" i="5" s="1"/>
  <c r="I114" i="5"/>
  <c r="I85" i="5"/>
  <c r="M13" i="51"/>
  <c r="U31" i="56"/>
  <c r="U29" i="56"/>
  <c r="U30" i="56"/>
  <c r="U28" i="56"/>
  <c r="U27" i="56"/>
  <c r="I237" i="5"/>
  <c r="I163" i="5"/>
  <c r="AA163" i="5" s="1"/>
  <c r="I108" i="5"/>
  <c r="I18" i="5"/>
  <c r="I22" i="5"/>
  <c r="I48" i="5"/>
  <c r="I189" i="5"/>
  <c r="I286" i="5"/>
  <c r="I10" i="51"/>
  <c r="I315" i="5"/>
  <c r="I300" i="5"/>
  <c r="I10" i="5"/>
  <c r="I299" i="5"/>
  <c r="I234" i="5"/>
  <c r="I362" i="5"/>
  <c r="I4" i="5"/>
  <c r="I333" i="5"/>
  <c r="I288" i="5"/>
  <c r="I12" i="51"/>
  <c r="I187" i="5"/>
  <c r="I167" i="5"/>
  <c r="I115" i="5"/>
  <c r="I211" i="5"/>
  <c r="I328" i="5"/>
  <c r="I130" i="5"/>
  <c r="I275" i="5"/>
  <c r="I181" i="5"/>
  <c r="I254" i="5"/>
  <c r="I99" i="5"/>
  <c r="I332" i="5"/>
  <c r="I95" i="5"/>
  <c r="I66" i="5"/>
  <c r="I135" i="5"/>
  <c r="I351" i="5"/>
  <c r="I177" i="5"/>
  <c r="I78" i="5"/>
  <c r="I133" i="5"/>
  <c r="AA133" i="5" s="1"/>
  <c r="I97" i="5"/>
  <c r="I151" i="5"/>
  <c r="T36" i="56"/>
  <c r="T34" i="56"/>
  <c r="T33" i="56"/>
  <c r="T35" i="56"/>
  <c r="T37" i="56"/>
  <c r="I316" i="5"/>
  <c r="I360" i="5"/>
  <c r="I17" i="5"/>
  <c r="I52" i="5"/>
  <c r="I43" i="5"/>
  <c r="I349" i="5"/>
  <c r="I198" i="5"/>
  <c r="I118" i="5"/>
  <c r="E10" i="51"/>
  <c r="T43" i="56"/>
  <c r="T42" i="56"/>
  <c r="I312" i="5"/>
  <c r="T40" i="56"/>
  <c r="T41" i="56"/>
  <c r="T39" i="56"/>
  <c r="I25" i="5"/>
  <c r="J9" i="51"/>
  <c r="I219" i="5"/>
  <c r="I307" i="5"/>
  <c r="K9" i="51"/>
  <c r="E11" i="51"/>
  <c r="I119" i="5"/>
  <c r="AA119" i="5" s="1"/>
  <c r="I40" i="5"/>
  <c r="AA40" i="5" s="1"/>
  <c r="I65" i="5"/>
  <c r="I143" i="5"/>
  <c r="I110" i="5"/>
  <c r="I355" i="5"/>
  <c r="I269" i="5"/>
  <c r="I63" i="5"/>
  <c r="I303" i="5"/>
  <c r="I188" i="5"/>
  <c r="I205" i="5"/>
  <c r="I101" i="5"/>
  <c r="I100" i="5"/>
  <c r="I106" i="5"/>
  <c r="I152" i="5"/>
  <c r="AA152" i="5" s="1"/>
  <c r="I104" i="5"/>
  <c r="N13" i="51"/>
  <c r="I174" i="5"/>
  <c r="I159" i="5"/>
  <c r="I158" i="5"/>
  <c r="AA158" i="5" s="1"/>
  <c r="I20" i="5"/>
  <c r="I74" i="5"/>
  <c r="I145" i="5"/>
  <c r="M12" i="51"/>
  <c r="I84" i="5"/>
  <c r="I272" i="5"/>
  <c r="I274" i="5"/>
  <c r="I47" i="5"/>
  <c r="I245" i="5"/>
  <c r="I123" i="5"/>
  <c r="I3" i="5"/>
  <c r="V39" i="56"/>
  <c r="V40" i="56"/>
  <c r="V43" i="56"/>
  <c r="V42" i="56"/>
  <c r="V41" i="56"/>
  <c r="I346" i="5"/>
  <c r="Y42" i="56"/>
  <c r="Y43" i="56"/>
  <c r="Y39" i="56"/>
  <c r="Y40" i="56"/>
  <c r="Y41" i="56"/>
  <c r="I290" i="5"/>
  <c r="K12" i="51"/>
  <c r="I310" i="5"/>
  <c r="I121" i="5"/>
  <c r="E13" i="51"/>
  <c r="E9" i="51"/>
  <c r="I117" i="5"/>
  <c r="X40" i="56"/>
  <c r="X39" i="56"/>
  <c r="X41" i="56"/>
  <c r="X42" i="56"/>
  <c r="X43" i="56"/>
  <c r="I175" i="5"/>
  <c r="I21" i="5"/>
  <c r="U37" i="56"/>
  <c r="U34" i="56"/>
  <c r="U36" i="56"/>
  <c r="U33" i="56"/>
  <c r="I231" i="5"/>
  <c r="U35" i="56"/>
  <c r="I128" i="5"/>
  <c r="I154" i="5"/>
  <c r="AA154" i="5" s="1"/>
  <c r="I322" i="5"/>
  <c r="I144" i="5"/>
  <c r="AA37" i="56"/>
  <c r="AA34" i="56"/>
  <c r="AA35" i="56"/>
  <c r="AA33" i="56"/>
  <c r="I33" i="5"/>
  <c r="AA36" i="56"/>
  <c r="I9" i="51"/>
  <c r="I285" i="5"/>
  <c r="I6" i="5"/>
  <c r="I61" i="5"/>
  <c r="N11" i="51"/>
  <c r="I172" i="5"/>
  <c r="AA172" i="5" s="1"/>
  <c r="I197" i="5"/>
  <c r="I92" i="5"/>
  <c r="I216" i="5"/>
  <c r="I191" i="5"/>
  <c r="I319" i="5"/>
  <c r="I45" i="5"/>
  <c r="I161" i="5"/>
  <c r="AA161" i="5" s="1"/>
  <c r="I62" i="5"/>
  <c r="Y31" i="56"/>
  <c r="I294" i="5"/>
  <c r="Y28" i="56"/>
  <c r="Y29" i="56"/>
  <c r="Y27" i="56"/>
  <c r="Y30" i="56"/>
  <c r="I58" i="5"/>
  <c r="I336" i="5"/>
  <c r="F9" i="51"/>
  <c r="I26" i="5"/>
  <c r="H8" i="51"/>
  <c r="U39" i="56"/>
  <c r="U42" i="56"/>
  <c r="U43" i="56"/>
  <c r="U41" i="56"/>
  <c r="U40" i="56"/>
  <c r="I230" i="5"/>
  <c r="I242" i="5"/>
  <c r="I24" i="5"/>
  <c r="X31" i="56"/>
  <c r="X28" i="56"/>
  <c r="X27" i="56"/>
  <c r="X30" i="56"/>
  <c r="I178" i="5"/>
  <c r="X29" i="56"/>
  <c r="I141" i="5"/>
  <c r="I304" i="5"/>
  <c r="I83" i="5"/>
  <c r="AA83" i="5" s="1"/>
  <c r="M11" i="51"/>
  <c r="I365" i="5"/>
  <c r="L8" i="51"/>
  <c r="I214" i="5"/>
  <c r="H12" i="51"/>
  <c r="I30" i="5"/>
  <c r="I255" i="5"/>
  <c r="G8" i="51"/>
  <c r="I195" i="5"/>
  <c r="I358" i="5"/>
  <c r="I276" i="5"/>
  <c r="AA29" i="56"/>
  <c r="AA30" i="56"/>
  <c r="I38" i="5"/>
  <c r="AA28" i="56"/>
  <c r="AA27" i="56"/>
  <c r="AA31" i="56"/>
  <c r="I270" i="5"/>
  <c r="K13" i="51"/>
  <c r="I311" i="5"/>
  <c r="T27" i="56"/>
  <c r="I321" i="5"/>
  <c r="T28" i="56"/>
  <c r="T30" i="56"/>
  <c r="T31" i="56"/>
  <c r="T29" i="56"/>
  <c r="I120" i="5"/>
  <c r="E12" i="51"/>
  <c r="I93" i="5"/>
  <c r="I44" i="5"/>
  <c r="I352" i="5"/>
  <c r="Z40" i="56"/>
  <c r="I341" i="5"/>
  <c r="Z39" i="56"/>
  <c r="Z43" i="56"/>
  <c r="Z41" i="56"/>
  <c r="Z42" i="56"/>
  <c r="I113" i="5"/>
  <c r="L12" i="51"/>
  <c r="I369" i="5"/>
  <c r="I138" i="5"/>
  <c r="I193" i="5"/>
  <c r="I297" i="5"/>
  <c r="I209" i="5"/>
  <c r="F12" i="51"/>
  <c r="I339" i="5"/>
  <c r="I131" i="5"/>
  <c r="I136" i="5"/>
  <c r="I134" i="5"/>
  <c r="I109" i="5"/>
  <c r="I13" i="51"/>
  <c r="I289" i="5"/>
  <c r="I75" i="5"/>
  <c r="I301" i="5"/>
  <c r="I320" i="5"/>
  <c r="I248" i="5"/>
  <c r="I253" i="5"/>
  <c r="I215" i="5"/>
  <c r="S29" i="56"/>
  <c r="S27" i="56"/>
  <c r="I91" i="5"/>
  <c r="S28" i="56"/>
  <c r="S30" i="56"/>
  <c r="S31" i="56"/>
  <c r="I11" i="51"/>
  <c r="I287" i="5"/>
  <c r="AA287" i="5" s="1"/>
  <c r="I102" i="5"/>
  <c r="K11" i="51"/>
  <c r="I309" i="5"/>
  <c r="AA309" i="5" s="1"/>
  <c r="I80" i="5"/>
  <c r="M8" i="51"/>
  <c r="I157" i="5"/>
  <c r="I201" i="5"/>
  <c r="I184" i="5"/>
  <c r="I55" i="5"/>
  <c r="I171" i="5"/>
  <c r="N10" i="51"/>
  <c r="I168" i="5"/>
  <c r="AA168" i="5" s="1"/>
  <c r="I258" i="5"/>
  <c r="G11" i="51"/>
  <c r="I88" i="5"/>
  <c r="J12" i="51"/>
  <c r="I222" i="5"/>
  <c r="I281" i="5"/>
  <c r="I51" i="5"/>
  <c r="M9" i="51"/>
  <c r="I81" i="5"/>
  <c r="AA81" i="5" s="1"/>
  <c r="I318" i="5"/>
  <c r="H13" i="51"/>
  <c r="I31" i="5"/>
  <c r="X35" i="56"/>
  <c r="X37" i="56"/>
  <c r="X33" i="56"/>
  <c r="X34" i="56"/>
  <c r="X36" i="56"/>
  <c r="I176" i="5"/>
  <c r="I79" i="5"/>
  <c r="I314" i="5"/>
  <c r="V35" i="56"/>
  <c r="I5" i="5"/>
  <c r="V33" i="56"/>
  <c r="V36" i="56"/>
  <c r="V34" i="56"/>
  <c r="V37" i="56"/>
  <c r="E661" i="49" l="1"/>
  <c r="G661" i="49" s="1"/>
  <c r="E660" i="49"/>
  <c r="G660" i="49" s="1"/>
  <c r="E662" i="49"/>
  <c r="G662" i="49" s="1"/>
  <c r="E659" i="49"/>
  <c r="G659" i="49" s="1"/>
  <c r="L46" i="5"/>
  <c r="L45" i="5"/>
  <c r="S40" i="5" s="1"/>
  <c r="AA290" i="5"/>
  <c r="E264" i="49"/>
  <c r="G264" i="49" s="1"/>
  <c r="AA122" i="5"/>
  <c r="L20" i="5"/>
  <c r="S33" i="5" s="1"/>
  <c r="E265" i="49"/>
  <c r="G265" i="49" s="1"/>
  <c r="L21" i="5"/>
  <c r="E170" i="49"/>
  <c r="G170" i="49" s="1"/>
  <c r="E171" i="49"/>
  <c r="G171" i="49" s="1"/>
  <c r="AA76" i="5"/>
  <c r="E172" i="49"/>
  <c r="G172" i="49" s="1"/>
  <c r="AA80" i="5"/>
  <c r="M13" i="5"/>
  <c r="E686" i="49"/>
  <c r="G686" i="49" s="1"/>
  <c r="E687" i="49"/>
  <c r="G687" i="49" s="1"/>
  <c r="AA301" i="5"/>
  <c r="AA339" i="5"/>
  <c r="E783" i="49"/>
  <c r="G783" i="49" s="1"/>
  <c r="E784" i="49"/>
  <c r="G784" i="49" s="1"/>
  <c r="AA113" i="5"/>
  <c r="E248" i="49"/>
  <c r="G248" i="49" s="1"/>
  <c r="E245" i="49"/>
  <c r="G245" i="49" s="1"/>
  <c r="E247" i="49"/>
  <c r="G247" i="49" s="1"/>
  <c r="E246" i="49"/>
  <c r="G246" i="49" s="1"/>
  <c r="E105" i="49"/>
  <c r="G105" i="49" s="1"/>
  <c r="E104" i="49"/>
  <c r="G104" i="49" s="1"/>
  <c r="E106" i="49"/>
  <c r="G106" i="49" s="1"/>
  <c r="AA44" i="5"/>
  <c r="E737" i="49"/>
  <c r="G737" i="49" s="1"/>
  <c r="N49" i="5"/>
  <c r="U35" i="5" s="1"/>
  <c r="N50" i="5"/>
  <c r="AA321" i="5"/>
  <c r="E738" i="49"/>
  <c r="G738" i="49" s="1"/>
  <c r="E739" i="49"/>
  <c r="G739" i="49" s="1"/>
  <c r="AA38" i="5"/>
  <c r="N8" i="5"/>
  <c r="N7" i="5"/>
  <c r="U42" i="5" s="1"/>
  <c r="E84" i="49"/>
  <c r="AA30" i="5"/>
  <c r="E85" i="49"/>
  <c r="G85" i="49" s="1"/>
  <c r="E309" i="49"/>
  <c r="G309" i="49" s="1"/>
  <c r="E310" i="49"/>
  <c r="G310" i="49" s="1"/>
  <c r="L23" i="5"/>
  <c r="E311" i="49"/>
  <c r="AA141" i="5"/>
  <c r="E538" i="49"/>
  <c r="G538" i="49" s="1"/>
  <c r="E537" i="49"/>
  <c r="G537" i="49" s="1"/>
  <c r="AA242" i="5"/>
  <c r="E536" i="49"/>
  <c r="G536" i="49" s="1"/>
  <c r="E75" i="49"/>
  <c r="G75" i="49" s="1"/>
  <c r="M6" i="5"/>
  <c r="E77" i="49"/>
  <c r="G77" i="49" s="1"/>
  <c r="E78" i="49"/>
  <c r="G78" i="49" s="1"/>
  <c r="AA26" i="5"/>
  <c r="E76" i="49"/>
  <c r="G76" i="49" s="1"/>
  <c r="N46" i="5"/>
  <c r="N45" i="5"/>
  <c r="U40" i="5" s="1"/>
  <c r="AA294" i="5"/>
  <c r="E673" i="49"/>
  <c r="G673" i="49" s="1"/>
  <c r="E672" i="49"/>
  <c r="G672" i="49" s="1"/>
  <c r="E201" i="49"/>
  <c r="G201" i="49" s="1"/>
  <c r="AA92" i="5"/>
  <c r="E199" i="49"/>
  <c r="G199" i="49" s="1"/>
  <c r="E200" i="49"/>
  <c r="G200" i="49" s="1"/>
  <c r="E56" i="49"/>
  <c r="G56" i="49" s="1"/>
  <c r="E55" i="49"/>
  <c r="G55" i="49" s="1"/>
  <c r="AA21" i="5"/>
  <c r="E229" i="49"/>
  <c r="G229" i="49" s="1"/>
  <c r="L17" i="5"/>
  <c r="AA104" i="5"/>
  <c r="E228" i="49"/>
  <c r="G228" i="49" s="1"/>
  <c r="AA63" i="5"/>
  <c r="E146" i="49"/>
  <c r="G146" i="49" s="1"/>
  <c r="E103" i="49"/>
  <c r="G103" i="49" s="1"/>
  <c r="M9" i="5"/>
  <c r="E102" i="49"/>
  <c r="G102" i="49" s="1"/>
  <c r="AA43" i="5"/>
  <c r="E297" i="49"/>
  <c r="G297" i="49" s="1"/>
  <c r="AA135" i="5"/>
  <c r="E280" i="49"/>
  <c r="G280" i="49" s="1"/>
  <c r="E285" i="49"/>
  <c r="G285" i="49" s="1"/>
  <c r="AA130" i="5"/>
  <c r="E281" i="49"/>
  <c r="G281" i="49" s="1"/>
  <c r="E282" i="49"/>
  <c r="G282" i="49" s="1"/>
  <c r="L22" i="5"/>
  <c r="E286" i="49"/>
  <c r="G286" i="49" s="1"/>
  <c r="E283" i="49"/>
  <c r="G283" i="49" s="1"/>
  <c r="E284" i="49"/>
  <c r="G284" i="49" s="1"/>
  <c r="E772" i="49"/>
  <c r="G772" i="49" s="1"/>
  <c r="E773" i="49"/>
  <c r="G773" i="49" s="1"/>
  <c r="AA333" i="5"/>
  <c r="N36" i="5"/>
  <c r="E521" i="49"/>
  <c r="G521" i="49" s="1"/>
  <c r="E522" i="49"/>
  <c r="G522" i="49" s="1"/>
  <c r="AA237" i="5"/>
  <c r="E523" i="49"/>
  <c r="G523" i="49" s="1"/>
  <c r="N34" i="5"/>
  <c r="U36" i="5" s="1"/>
  <c r="E249" i="49"/>
  <c r="G249" i="49" s="1"/>
  <c r="E250" i="49"/>
  <c r="G250" i="49" s="1"/>
  <c r="AA114" i="5"/>
  <c r="N18" i="5"/>
  <c r="E579" i="49"/>
  <c r="G579" i="49" s="1"/>
  <c r="N39" i="5"/>
  <c r="AA257" i="5"/>
  <c r="E578" i="49"/>
  <c r="G578" i="49" s="1"/>
  <c r="AA54" i="5"/>
  <c r="E130" i="49"/>
  <c r="G130" i="49" s="1"/>
  <c r="E131" i="49"/>
  <c r="G131" i="49" s="1"/>
  <c r="L10" i="5"/>
  <c r="AA244" i="5"/>
  <c r="E542" i="49"/>
  <c r="G542" i="49" s="1"/>
  <c r="E543" i="49"/>
  <c r="G543" i="49" s="1"/>
  <c r="M37" i="5"/>
  <c r="E544" i="49"/>
  <c r="G544" i="49" s="1"/>
  <c r="N24" i="5"/>
  <c r="U43" i="5" s="1"/>
  <c r="AA156" i="5"/>
  <c r="N25" i="5"/>
  <c r="E549" i="49"/>
  <c r="G549" i="49" s="1"/>
  <c r="E548" i="49"/>
  <c r="G548" i="49" s="1"/>
  <c r="AA246" i="5"/>
  <c r="E550" i="49"/>
  <c r="G550" i="49" s="1"/>
  <c r="E724" i="49"/>
  <c r="G724" i="49" s="1"/>
  <c r="E725" i="49"/>
  <c r="G725" i="49" s="1"/>
  <c r="E727" i="49"/>
  <c r="G727" i="49" s="1"/>
  <c r="AA317" i="5"/>
  <c r="E726" i="49"/>
  <c r="G726" i="49" s="1"/>
  <c r="AA192" i="5"/>
  <c r="E398" i="49"/>
  <c r="G398" i="49" s="1"/>
  <c r="E400" i="49"/>
  <c r="G400" i="49" s="1"/>
  <c r="E399" i="49"/>
  <c r="G399" i="49" s="1"/>
  <c r="AA179" i="5"/>
  <c r="E360" i="49"/>
  <c r="G360" i="49" s="1"/>
  <c r="E361" i="49"/>
  <c r="G361" i="49" s="1"/>
  <c r="E762" i="49"/>
  <c r="G762" i="49" s="1"/>
  <c r="E763" i="49"/>
  <c r="G763" i="49" s="1"/>
  <c r="AA329" i="5"/>
  <c r="L25" i="5"/>
  <c r="L24" i="5"/>
  <c r="S43" i="5" s="1"/>
  <c r="AA149" i="5"/>
  <c r="E16" i="49"/>
  <c r="G16" i="49" s="1"/>
  <c r="E13" i="49"/>
  <c r="G13" i="49" s="1"/>
  <c r="E15" i="49"/>
  <c r="G15" i="49" s="1"/>
  <c r="E14" i="49"/>
  <c r="G14" i="49" s="1"/>
  <c r="AA9" i="5"/>
  <c r="E92" i="49"/>
  <c r="G92" i="49" s="1"/>
  <c r="E91" i="49"/>
  <c r="G91" i="49" s="1"/>
  <c r="AA36" i="5"/>
  <c r="M44" i="5"/>
  <c r="AA284" i="5"/>
  <c r="E653" i="49"/>
  <c r="G653" i="49" s="1"/>
  <c r="N13" i="5"/>
  <c r="AA82" i="5"/>
  <c r="E842" i="49"/>
  <c r="G842" i="49" s="1"/>
  <c r="AA363" i="5"/>
  <c r="N57" i="5"/>
  <c r="E373" i="49"/>
  <c r="G373" i="49" s="1"/>
  <c r="AA185" i="5"/>
  <c r="E374" i="49"/>
  <c r="G374" i="49" s="1"/>
  <c r="E376" i="49"/>
  <c r="G376" i="49" s="1"/>
  <c r="E375" i="49"/>
  <c r="G375" i="49" s="1"/>
  <c r="AA323" i="5"/>
  <c r="E748" i="49"/>
  <c r="G748" i="49" s="1"/>
  <c r="E747" i="49"/>
  <c r="G747" i="49" s="1"/>
  <c r="E24" i="49"/>
  <c r="G24" i="49" s="1"/>
  <c r="AA11" i="5"/>
  <c r="E22" i="49"/>
  <c r="G22" i="49" s="1"/>
  <c r="E23" i="49"/>
  <c r="G23" i="49" s="1"/>
  <c r="E25" i="49"/>
  <c r="G25" i="49" s="1"/>
  <c r="E270" i="49"/>
  <c r="G270" i="49" s="1"/>
  <c r="E269" i="49"/>
  <c r="G269" i="49" s="1"/>
  <c r="AA125" i="5"/>
  <c r="AA357" i="5"/>
  <c r="E836" i="49"/>
  <c r="G836" i="49" s="1"/>
  <c r="E176" i="49"/>
  <c r="G176" i="49" s="1"/>
  <c r="AA79" i="5"/>
  <c r="E191" i="49"/>
  <c r="G191" i="49" s="1"/>
  <c r="AA88" i="5"/>
  <c r="E189" i="49"/>
  <c r="G189" i="49" s="1"/>
  <c r="E190" i="49"/>
  <c r="G190" i="49" s="1"/>
  <c r="E188" i="49"/>
  <c r="G188" i="49" s="1"/>
  <c r="L32" i="5"/>
  <c r="AA201" i="5"/>
  <c r="E442" i="49"/>
  <c r="G442" i="49" s="1"/>
  <c r="E443" i="49"/>
  <c r="G443" i="49" s="1"/>
  <c r="E571" i="49"/>
  <c r="G571" i="49" s="1"/>
  <c r="E572" i="49"/>
  <c r="G572" i="49" s="1"/>
  <c r="AA253" i="5"/>
  <c r="E570" i="49"/>
  <c r="G570" i="49" s="1"/>
  <c r="AA134" i="5"/>
  <c r="E296" i="49"/>
  <c r="G296" i="49" s="1"/>
  <c r="E303" i="49"/>
  <c r="G303" i="49" s="1"/>
  <c r="AA138" i="5"/>
  <c r="E304" i="49"/>
  <c r="G304" i="49" s="1"/>
  <c r="E788" i="49"/>
  <c r="G788" i="49" s="1"/>
  <c r="E792" i="49"/>
  <c r="G792" i="49" s="1"/>
  <c r="L53" i="5"/>
  <c r="S41" i="5" s="1"/>
  <c r="L54" i="5"/>
  <c r="E786" i="49"/>
  <c r="G786" i="49" s="1"/>
  <c r="E791" i="49"/>
  <c r="G791" i="49" s="1"/>
  <c r="E789" i="49"/>
  <c r="G789" i="49" s="1"/>
  <c r="E790" i="49"/>
  <c r="G790" i="49" s="1"/>
  <c r="AA341" i="5"/>
  <c r="E787" i="49"/>
  <c r="G787" i="49" s="1"/>
  <c r="E556" i="49"/>
  <c r="G556" i="49" s="1"/>
  <c r="AA248" i="5"/>
  <c r="E554" i="49"/>
  <c r="G554" i="49" s="1"/>
  <c r="E555" i="49"/>
  <c r="G555" i="49" s="1"/>
  <c r="E298" i="49"/>
  <c r="G298" i="49" s="1"/>
  <c r="AA136" i="5"/>
  <c r="E299" i="49"/>
  <c r="G299" i="49" s="1"/>
  <c r="E845" i="49"/>
  <c r="G845" i="49" s="1"/>
  <c r="E844" i="49"/>
  <c r="G844" i="49" s="1"/>
  <c r="AA369" i="5"/>
  <c r="E506" i="49"/>
  <c r="G506" i="49" s="1"/>
  <c r="L36" i="5"/>
  <c r="AA230" i="5"/>
  <c r="E505" i="49"/>
  <c r="G505" i="49" s="1"/>
  <c r="L34" i="5"/>
  <c r="S36" i="5" s="1"/>
  <c r="N31" i="5"/>
  <c r="E427" i="49"/>
  <c r="G427" i="49" s="1"/>
  <c r="E424" i="49"/>
  <c r="G424" i="49" s="1"/>
  <c r="AA197" i="5"/>
  <c r="E428" i="49"/>
  <c r="G428" i="49" s="1"/>
  <c r="E425" i="49"/>
  <c r="G425" i="49" s="1"/>
  <c r="E426" i="49"/>
  <c r="G426" i="49" s="1"/>
  <c r="M7" i="5"/>
  <c r="T42" i="5" s="1"/>
  <c r="AA33" i="5"/>
  <c r="E88" i="49"/>
  <c r="G88" i="49" s="1"/>
  <c r="M8" i="5"/>
  <c r="E277" i="49"/>
  <c r="G277" i="49" s="1"/>
  <c r="AA128" i="5"/>
  <c r="L28" i="5"/>
  <c r="S39" i="5" s="1"/>
  <c r="E351" i="49"/>
  <c r="G351" i="49" s="1"/>
  <c r="E353" i="49"/>
  <c r="G353" i="49" s="1"/>
  <c r="E352" i="49"/>
  <c r="G352" i="49" s="1"/>
  <c r="AA175" i="5"/>
  <c r="L29" i="5"/>
  <c r="L3" i="5"/>
  <c r="AA3" i="5"/>
  <c r="L2" i="5"/>
  <c r="S37" i="5" s="1"/>
  <c r="E3" i="49"/>
  <c r="E326" i="49"/>
  <c r="G326" i="49" s="1"/>
  <c r="E324" i="49"/>
  <c r="G324" i="49" s="1"/>
  <c r="AA145" i="5"/>
  <c r="E325" i="49"/>
  <c r="G325" i="49" s="1"/>
  <c r="M23" i="5"/>
  <c r="E612" i="49"/>
  <c r="G612" i="49" s="1"/>
  <c r="E613" i="49"/>
  <c r="G613" i="49" s="1"/>
  <c r="E619" i="49"/>
  <c r="G619" i="49" s="1"/>
  <c r="E614" i="49"/>
  <c r="G614" i="49" s="1"/>
  <c r="E611" i="49"/>
  <c r="G611" i="49" s="1"/>
  <c r="AA269" i="5"/>
  <c r="E615" i="49"/>
  <c r="G615" i="49" s="1"/>
  <c r="E616" i="49"/>
  <c r="G616" i="49" s="1"/>
  <c r="E617" i="49"/>
  <c r="G617" i="49" s="1"/>
  <c r="E618" i="49"/>
  <c r="G618" i="49" s="1"/>
  <c r="L49" i="5"/>
  <c r="S35" i="5" s="1"/>
  <c r="E705" i="49"/>
  <c r="G705" i="49" s="1"/>
  <c r="E704" i="49"/>
  <c r="G704" i="49" s="1"/>
  <c r="L50" i="5"/>
  <c r="E708" i="49"/>
  <c r="G708" i="49" s="1"/>
  <c r="E706" i="49"/>
  <c r="G706" i="49" s="1"/>
  <c r="E707" i="49"/>
  <c r="G707" i="49" s="1"/>
  <c r="AA312" i="5"/>
  <c r="E126" i="49"/>
  <c r="G126" i="49" s="1"/>
  <c r="E125" i="49"/>
  <c r="G125" i="49" s="1"/>
  <c r="AA52" i="5"/>
  <c r="AA66" i="5"/>
  <c r="E150" i="49"/>
  <c r="G150" i="49" s="1"/>
  <c r="AA328" i="5"/>
  <c r="E761" i="49"/>
  <c r="G761" i="49" s="1"/>
  <c r="E760" i="49"/>
  <c r="G760" i="49" s="1"/>
  <c r="E4" i="49"/>
  <c r="G4" i="49" s="1"/>
  <c r="AA4" i="5"/>
  <c r="AA286" i="5"/>
  <c r="E655" i="49"/>
  <c r="G655" i="49" s="1"/>
  <c r="N44" i="5"/>
  <c r="E577" i="49"/>
  <c r="G577" i="49" s="1"/>
  <c r="AA256" i="5"/>
  <c r="E800" i="49"/>
  <c r="G800" i="49" s="1"/>
  <c r="E806" i="49"/>
  <c r="G806" i="49" s="1"/>
  <c r="E801" i="49"/>
  <c r="G801" i="49" s="1"/>
  <c r="E804" i="49"/>
  <c r="G804" i="49" s="1"/>
  <c r="M54" i="5"/>
  <c r="E805" i="49"/>
  <c r="G805" i="49" s="1"/>
  <c r="AA343" i="5"/>
  <c r="M53" i="5"/>
  <c r="T41" i="5" s="1"/>
  <c r="E802" i="49"/>
  <c r="G802" i="49" s="1"/>
  <c r="E803" i="49"/>
  <c r="G803" i="49" s="1"/>
  <c r="E562" i="49"/>
  <c r="G562" i="49" s="1"/>
  <c r="E560" i="49"/>
  <c r="G560" i="49" s="1"/>
  <c r="AA250" i="5"/>
  <c r="E561" i="49"/>
  <c r="G561" i="49" s="1"/>
  <c r="L38" i="5"/>
  <c r="M18" i="5"/>
  <c r="E244" i="49"/>
  <c r="G244" i="49" s="1"/>
  <c r="E243" i="49"/>
  <c r="G243" i="49" s="1"/>
  <c r="E242" i="49"/>
  <c r="G242" i="49" s="1"/>
  <c r="AA112" i="5"/>
  <c r="E447" i="49"/>
  <c r="G447" i="49" s="1"/>
  <c r="M32" i="5"/>
  <c r="AA204" i="5"/>
  <c r="E751" i="49"/>
  <c r="G751" i="49" s="1"/>
  <c r="AA325" i="5"/>
  <c r="E752" i="49"/>
  <c r="G752" i="49" s="1"/>
  <c r="AA150" i="5"/>
  <c r="M25" i="5"/>
  <c r="M24" i="5"/>
  <c r="T43" i="5" s="1"/>
  <c r="E709" i="49"/>
  <c r="G709" i="49" s="1"/>
  <c r="E710" i="49"/>
  <c r="G710" i="49" s="1"/>
  <c r="E711" i="49"/>
  <c r="G711" i="49" s="1"/>
  <c r="AA313" i="5"/>
  <c r="AA103" i="5"/>
  <c r="E227" i="49"/>
  <c r="G227" i="49" s="1"/>
  <c r="E226" i="49"/>
  <c r="G226" i="49" s="1"/>
  <c r="E524" i="49"/>
  <c r="G524" i="49" s="1"/>
  <c r="AA238" i="5"/>
  <c r="E525" i="49"/>
  <c r="G525" i="49" s="1"/>
  <c r="E527" i="49"/>
  <c r="G527" i="49" s="1"/>
  <c r="E526" i="49"/>
  <c r="G526" i="49" s="1"/>
  <c r="AA67" i="5"/>
  <c r="E151" i="49"/>
  <c r="G151" i="49" s="1"/>
  <c r="N11" i="5"/>
  <c r="E444" i="49"/>
  <c r="G444" i="49" s="1"/>
  <c r="AA202" i="5"/>
  <c r="E160" i="49"/>
  <c r="G160" i="49" s="1"/>
  <c r="AA71" i="5"/>
  <c r="E159" i="49"/>
  <c r="G159" i="49" s="1"/>
  <c r="E649" i="49"/>
  <c r="G649" i="49" s="1"/>
  <c r="AA280" i="5"/>
  <c r="E377" i="49"/>
  <c r="G377" i="49" s="1"/>
  <c r="E378" i="49"/>
  <c r="G378" i="49" s="1"/>
  <c r="AA186" i="5"/>
  <c r="E681" i="49"/>
  <c r="G681" i="49" s="1"/>
  <c r="AA298" i="5"/>
  <c r="E682" i="49"/>
  <c r="G682" i="49" s="1"/>
  <c r="E680" i="49"/>
  <c r="G680" i="49" s="1"/>
  <c r="E365" i="49"/>
  <c r="G365" i="49" s="1"/>
  <c r="E366" i="49"/>
  <c r="G366" i="49" s="1"/>
  <c r="AA182" i="5"/>
  <c r="E367" i="49"/>
  <c r="G367" i="49" s="1"/>
  <c r="E329" i="49"/>
  <c r="G329" i="49" s="1"/>
  <c r="E332" i="49"/>
  <c r="G332" i="49" s="1"/>
  <c r="E331" i="49"/>
  <c r="G331" i="49" s="1"/>
  <c r="AA146" i="5"/>
  <c r="E327" i="49"/>
  <c r="G327" i="49" s="1"/>
  <c r="E330" i="49"/>
  <c r="G330" i="49" s="1"/>
  <c r="E328" i="49"/>
  <c r="G328" i="49" s="1"/>
  <c r="AA50" i="5"/>
  <c r="E122" i="49"/>
  <c r="G122" i="49" s="1"/>
  <c r="E120" i="49"/>
  <c r="G120" i="49" s="1"/>
  <c r="E121" i="49"/>
  <c r="G121" i="49" s="1"/>
  <c r="E416" i="49"/>
  <c r="G416" i="49" s="1"/>
  <c r="E415" i="49"/>
  <c r="G415" i="49" s="1"/>
  <c r="E414" i="49"/>
  <c r="G414" i="49" s="1"/>
  <c r="E413" i="49"/>
  <c r="G413" i="49" s="1"/>
  <c r="AA195" i="5"/>
  <c r="AA274" i="5"/>
  <c r="E639" i="49"/>
  <c r="G639" i="49" s="1"/>
  <c r="M26" i="5"/>
  <c r="AA159" i="5"/>
  <c r="AA205" i="5"/>
  <c r="E449" i="49"/>
  <c r="G449" i="49" s="1"/>
  <c r="E450" i="49"/>
  <c r="G450" i="49" s="1"/>
  <c r="E448" i="49"/>
  <c r="G448" i="49" s="1"/>
  <c r="E149" i="49"/>
  <c r="G149" i="49" s="1"/>
  <c r="AA65" i="5"/>
  <c r="E74" i="49"/>
  <c r="G74" i="49" s="1"/>
  <c r="E70" i="49"/>
  <c r="G70" i="49" s="1"/>
  <c r="E71" i="49"/>
  <c r="G71" i="49" s="1"/>
  <c r="E73" i="49"/>
  <c r="G73" i="49" s="1"/>
  <c r="E72" i="49"/>
  <c r="G72" i="49" s="1"/>
  <c r="AA25" i="5"/>
  <c r="N19" i="5"/>
  <c r="E259" i="49"/>
  <c r="G259" i="49" s="1"/>
  <c r="AA118" i="5"/>
  <c r="E258" i="49"/>
  <c r="G258" i="49" s="1"/>
  <c r="E260" i="49"/>
  <c r="G260" i="49" s="1"/>
  <c r="AA93" i="5"/>
  <c r="E202" i="49"/>
  <c r="G202" i="49" s="1"/>
  <c r="E203" i="49"/>
  <c r="G203" i="49" s="1"/>
  <c r="E5" i="49"/>
  <c r="G5" i="49" s="1"/>
  <c r="M3" i="5"/>
  <c r="AA5" i="5"/>
  <c r="E6" i="49"/>
  <c r="G6" i="49" s="1"/>
  <c r="M2" i="5"/>
  <c r="T37" i="5" s="1"/>
  <c r="E469" i="49"/>
  <c r="G469" i="49" s="1"/>
  <c r="E470" i="49"/>
  <c r="G470" i="49" s="1"/>
  <c r="AA214" i="5"/>
  <c r="N28" i="5"/>
  <c r="U39" i="5" s="1"/>
  <c r="E359" i="49"/>
  <c r="G359" i="49" s="1"/>
  <c r="AA178" i="5"/>
  <c r="E358" i="49"/>
  <c r="G358" i="49" s="1"/>
  <c r="E357" i="49"/>
  <c r="G357" i="49" s="1"/>
  <c r="N29" i="5"/>
  <c r="AA121" i="5"/>
  <c r="E263" i="49"/>
  <c r="G263" i="49" s="1"/>
  <c r="E267" i="49"/>
  <c r="G267" i="49" s="1"/>
  <c r="E266" i="49"/>
  <c r="G266" i="49" s="1"/>
  <c r="AA123" i="5"/>
  <c r="E166" i="49"/>
  <c r="G166" i="49" s="1"/>
  <c r="AA74" i="5"/>
  <c r="E165" i="49"/>
  <c r="G165" i="49" s="1"/>
  <c r="AA106" i="5"/>
  <c r="N17" i="5"/>
  <c r="E233" i="49"/>
  <c r="G233" i="49" s="1"/>
  <c r="E834" i="49"/>
  <c r="G834" i="49" s="1"/>
  <c r="AA355" i="5"/>
  <c r="M56" i="5"/>
  <c r="E699" i="49"/>
  <c r="G699" i="49" s="1"/>
  <c r="AA307" i="5"/>
  <c r="AA17" i="5"/>
  <c r="L5" i="5"/>
  <c r="E46" i="49"/>
  <c r="G46" i="49" s="1"/>
  <c r="AA151" i="5"/>
  <c r="E342" i="49"/>
  <c r="G342" i="49" s="1"/>
  <c r="AA95" i="5"/>
  <c r="E206" i="49"/>
  <c r="G206" i="49" s="1"/>
  <c r="E207" i="49"/>
  <c r="G207" i="49" s="1"/>
  <c r="L16" i="5"/>
  <c r="E208" i="49"/>
  <c r="G208" i="49" s="1"/>
  <c r="E462" i="49"/>
  <c r="G462" i="49" s="1"/>
  <c r="AA211" i="5"/>
  <c r="E463" i="49"/>
  <c r="G463" i="49" s="1"/>
  <c r="AA362" i="5"/>
  <c r="E841" i="49"/>
  <c r="G841" i="49" s="1"/>
  <c r="E390" i="49"/>
  <c r="G390" i="49" s="1"/>
  <c r="AA189" i="5"/>
  <c r="E389" i="49"/>
  <c r="G389" i="49" s="1"/>
  <c r="E388" i="49"/>
  <c r="G388" i="49" s="1"/>
  <c r="AA165" i="5"/>
  <c r="N26" i="5"/>
  <c r="E446" i="49"/>
  <c r="G446" i="49" s="1"/>
  <c r="AA203" i="5"/>
  <c r="E445" i="49"/>
  <c r="G445" i="49" s="1"/>
  <c r="E155" i="49"/>
  <c r="G155" i="49" s="1"/>
  <c r="AA70" i="5"/>
  <c r="E157" i="49"/>
  <c r="G157" i="49" s="1"/>
  <c r="E156" i="49"/>
  <c r="G156" i="49" s="1"/>
  <c r="E158" i="49"/>
  <c r="G158" i="49" s="1"/>
  <c r="E153" i="49"/>
  <c r="G153" i="49" s="1"/>
  <c r="E154" i="49"/>
  <c r="G154" i="49" s="1"/>
  <c r="AA69" i="5"/>
  <c r="E589" i="49"/>
  <c r="G589" i="49" s="1"/>
  <c r="AA263" i="5"/>
  <c r="E65" i="49"/>
  <c r="G65" i="49" s="1"/>
  <c r="E62" i="49"/>
  <c r="G62" i="49" s="1"/>
  <c r="E63" i="49"/>
  <c r="G63" i="49" s="1"/>
  <c r="E66" i="49"/>
  <c r="G66" i="49" s="1"/>
  <c r="AA23" i="5"/>
  <c r="E60" i="49"/>
  <c r="G60" i="49" s="1"/>
  <c r="E61" i="49"/>
  <c r="G61" i="49" s="1"/>
  <c r="E64" i="49"/>
  <c r="G64" i="49" s="1"/>
  <c r="L40" i="5"/>
  <c r="S38" i="5" s="1"/>
  <c r="L41" i="5"/>
  <c r="AA261" i="5"/>
  <c r="E586" i="49"/>
  <c r="G586" i="49" s="1"/>
  <c r="E585" i="49"/>
  <c r="G585" i="49" s="1"/>
  <c r="AA98" i="5"/>
  <c r="E216" i="49"/>
  <c r="G216" i="49" s="1"/>
  <c r="E215" i="49"/>
  <c r="G215" i="49" s="1"/>
  <c r="E9" i="49"/>
  <c r="G9" i="49" s="1"/>
  <c r="E8" i="49"/>
  <c r="G8" i="49" s="1"/>
  <c r="AA7" i="5"/>
  <c r="AA68" i="5"/>
  <c r="E152" i="49"/>
  <c r="G152" i="49" s="1"/>
  <c r="E759" i="49"/>
  <c r="G759" i="49" s="1"/>
  <c r="E757" i="49"/>
  <c r="G757" i="49" s="1"/>
  <c r="AA327" i="5"/>
  <c r="M51" i="5"/>
  <c r="E758" i="49"/>
  <c r="G758" i="49" s="1"/>
  <c r="AA268" i="5"/>
  <c r="M42" i="5"/>
  <c r="E610" i="49"/>
  <c r="G610" i="49" s="1"/>
  <c r="E608" i="49"/>
  <c r="G608" i="49" s="1"/>
  <c r="E609" i="49"/>
  <c r="G609" i="49" s="1"/>
  <c r="E652" i="49"/>
  <c r="G652" i="49" s="1"/>
  <c r="AA282" i="5"/>
  <c r="E164" i="49"/>
  <c r="G164" i="49" s="1"/>
  <c r="M12" i="5"/>
  <c r="AA73" i="5"/>
  <c r="E163" i="49"/>
  <c r="G163" i="49" s="1"/>
  <c r="E566" i="49"/>
  <c r="G566" i="49" s="1"/>
  <c r="E567" i="49"/>
  <c r="G567" i="49" s="1"/>
  <c r="AA251" i="5"/>
  <c r="E564" i="49"/>
  <c r="G564" i="49" s="1"/>
  <c r="E563" i="49"/>
  <c r="G563" i="49" s="1"/>
  <c r="M38" i="5"/>
  <c r="E568" i="49"/>
  <c r="G568" i="49" s="1"/>
  <c r="E565" i="49"/>
  <c r="G565" i="49" s="1"/>
  <c r="AA218" i="5"/>
  <c r="M33" i="5"/>
  <c r="E483" i="49"/>
  <c r="G483" i="49" s="1"/>
  <c r="E484" i="49"/>
  <c r="G484" i="49" s="1"/>
  <c r="E766" i="49"/>
  <c r="G766" i="49" s="1"/>
  <c r="AA331" i="5"/>
  <c r="E764" i="49"/>
  <c r="G764" i="49" s="1"/>
  <c r="N51" i="5"/>
  <c r="E765" i="49"/>
  <c r="G765" i="49" s="1"/>
  <c r="E676" i="49"/>
  <c r="G676" i="49" s="1"/>
  <c r="E677" i="49"/>
  <c r="G677" i="49" s="1"/>
  <c r="AA296" i="5"/>
  <c r="E826" i="49"/>
  <c r="G826" i="49" s="1"/>
  <c r="L55" i="5"/>
  <c r="AA347" i="5"/>
  <c r="AA60" i="5"/>
  <c r="E141" i="49"/>
  <c r="G141" i="49" s="1"/>
  <c r="E731" i="49"/>
  <c r="G731" i="49" s="1"/>
  <c r="E732" i="49"/>
  <c r="G732" i="49" s="1"/>
  <c r="AA319" i="5"/>
  <c r="AA6" i="5"/>
  <c r="E7" i="49"/>
  <c r="G7" i="49" s="1"/>
  <c r="AA356" i="5"/>
  <c r="E835" i="49"/>
  <c r="G835" i="49" s="1"/>
  <c r="E650" i="49"/>
  <c r="G650" i="49" s="1"/>
  <c r="E651" i="49"/>
  <c r="G651" i="49" s="1"/>
  <c r="AA281" i="5"/>
  <c r="AA171" i="5"/>
  <c r="E347" i="49"/>
  <c r="G347" i="49" s="1"/>
  <c r="N27" i="5"/>
  <c r="AA289" i="5"/>
  <c r="E658" i="49"/>
  <c r="G658" i="49" s="1"/>
  <c r="E458" i="49"/>
  <c r="G458" i="49" s="1"/>
  <c r="AA209" i="5"/>
  <c r="AA336" i="5"/>
  <c r="E781" i="49"/>
  <c r="G781" i="49" s="1"/>
  <c r="E145" i="49"/>
  <c r="G145" i="49" s="1"/>
  <c r="N10" i="5"/>
  <c r="E144" i="49"/>
  <c r="G144" i="49" s="1"/>
  <c r="AA62" i="5"/>
  <c r="AA222" i="5"/>
  <c r="E488" i="49"/>
  <c r="G488" i="49" s="1"/>
  <c r="E489" i="49"/>
  <c r="G489" i="49" s="1"/>
  <c r="E490" i="49"/>
  <c r="G490" i="49" s="1"/>
  <c r="E132" i="49"/>
  <c r="G132" i="49" s="1"/>
  <c r="E134" i="49"/>
  <c r="G134" i="49" s="1"/>
  <c r="AA55" i="5"/>
  <c r="E133" i="49"/>
  <c r="G133" i="49" s="1"/>
  <c r="M10" i="5"/>
  <c r="E225" i="49"/>
  <c r="G225" i="49" s="1"/>
  <c r="E224" i="49"/>
  <c r="G224" i="49" s="1"/>
  <c r="AA102" i="5"/>
  <c r="E262" i="49"/>
  <c r="G262" i="49" s="1"/>
  <c r="AA120" i="5"/>
  <c r="E261" i="49"/>
  <c r="G261" i="49" s="1"/>
  <c r="M43" i="5"/>
  <c r="AA276" i="5"/>
  <c r="E138" i="49"/>
  <c r="G138" i="49" s="1"/>
  <c r="E139" i="49"/>
  <c r="G139" i="49" s="1"/>
  <c r="AA58" i="5"/>
  <c r="AA231" i="5"/>
  <c r="E508" i="49"/>
  <c r="G508" i="49" s="1"/>
  <c r="M36" i="5"/>
  <c r="E507" i="49"/>
  <c r="G507" i="49" s="1"/>
  <c r="M34" i="5"/>
  <c r="T36" i="5" s="1"/>
  <c r="AA310" i="5"/>
  <c r="E702" i="49"/>
  <c r="G702" i="49" s="1"/>
  <c r="E701" i="49"/>
  <c r="G701" i="49" s="1"/>
  <c r="AA346" i="5"/>
  <c r="E823" i="49"/>
  <c r="G823" i="49" s="1"/>
  <c r="E821" i="49"/>
  <c r="G821" i="49" s="1"/>
  <c r="E824" i="49"/>
  <c r="G824" i="49" s="1"/>
  <c r="E820" i="49"/>
  <c r="G820" i="49" s="1"/>
  <c r="E819" i="49"/>
  <c r="G819" i="49" s="1"/>
  <c r="E822" i="49"/>
  <c r="G822" i="49" s="1"/>
  <c r="E825" i="49"/>
  <c r="G825" i="49" s="1"/>
  <c r="AA245" i="5"/>
  <c r="E545" i="49"/>
  <c r="G545" i="49" s="1"/>
  <c r="E546" i="49"/>
  <c r="G546" i="49" s="1"/>
  <c r="E547" i="49"/>
  <c r="G547" i="49" s="1"/>
  <c r="M5" i="5"/>
  <c r="E54" i="49"/>
  <c r="G54" i="49" s="1"/>
  <c r="E53" i="49"/>
  <c r="G53" i="49" s="1"/>
  <c r="AA20" i="5"/>
  <c r="AA100" i="5"/>
  <c r="E219" i="49"/>
  <c r="G219" i="49" s="1"/>
  <c r="E220" i="49"/>
  <c r="G220" i="49" s="1"/>
  <c r="E221" i="49"/>
  <c r="G221" i="49" s="1"/>
  <c r="N16" i="5"/>
  <c r="E238" i="49"/>
  <c r="G238" i="49" s="1"/>
  <c r="E237" i="49"/>
  <c r="G237" i="49" s="1"/>
  <c r="AA110" i="5"/>
  <c r="L18" i="5"/>
  <c r="E485" i="49"/>
  <c r="G485" i="49" s="1"/>
  <c r="AA219" i="5"/>
  <c r="AA360" i="5"/>
  <c r="L57" i="5"/>
  <c r="E839" i="49"/>
  <c r="G839" i="49" s="1"/>
  <c r="AA97" i="5"/>
  <c r="E213" i="49"/>
  <c r="G213" i="49" s="1"/>
  <c r="E214" i="49"/>
  <c r="G214" i="49" s="1"/>
  <c r="E212" i="49"/>
  <c r="G212" i="49" s="1"/>
  <c r="E769" i="49"/>
  <c r="G769" i="49" s="1"/>
  <c r="E767" i="49"/>
  <c r="G767" i="49" s="1"/>
  <c r="E768" i="49"/>
  <c r="G768" i="49" s="1"/>
  <c r="AA332" i="5"/>
  <c r="E770" i="49"/>
  <c r="G770" i="49" s="1"/>
  <c r="E771" i="49"/>
  <c r="G771" i="49" s="1"/>
  <c r="AA115" i="5"/>
  <c r="E253" i="49"/>
  <c r="G253" i="49" s="1"/>
  <c r="E252" i="49"/>
  <c r="G252" i="49" s="1"/>
  <c r="E251" i="49"/>
  <c r="G251" i="49" s="1"/>
  <c r="E514" i="49"/>
  <c r="G514" i="49" s="1"/>
  <c r="E515" i="49"/>
  <c r="G515" i="49" s="1"/>
  <c r="AA234" i="5"/>
  <c r="E513" i="49"/>
  <c r="G513" i="49" s="1"/>
  <c r="E516" i="49"/>
  <c r="G516" i="49" s="1"/>
  <c r="E116" i="49"/>
  <c r="G116" i="49" s="1"/>
  <c r="AA48" i="5"/>
  <c r="E115" i="49"/>
  <c r="G115" i="49" s="1"/>
  <c r="N9" i="5"/>
  <c r="AA212" i="5"/>
  <c r="E465" i="49"/>
  <c r="G465" i="49" s="1"/>
  <c r="E464" i="49"/>
  <c r="G464" i="49" s="1"/>
  <c r="E466" i="49"/>
  <c r="G466" i="49" s="1"/>
  <c r="E185" i="49"/>
  <c r="G185" i="49" s="1"/>
  <c r="AA87" i="5"/>
  <c r="E187" i="49"/>
  <c r="G187" i="49" s="1"/>
  <c r="M14" i="5"/>
  <c r="T34" i="5" s="1"/>
  <c r="M15" i="5"/>
  <c r="E186" i="49"/>
  <c r="G186" i="49" s="1"/>
  <c r="E184" i="49"/>
  <c r="G184" i="49" s="1"/>
  <c r="E750" i="49"/>
  <c r="G750" i="49" s="1"/>
  <c r="L51" i="5"/>
  <c r="E749" i="49"/>
  <c r="G749" i="49" s="1"/>
  <c r="AA324" i="5"/>
  <c r="E510" i="49"/>
  <c r="G510" i="49" s="1"/>
  <c r="AA232" i="5"/>
  <c r="E509" i="49"/>
  <c r="G509" i="49" s="1"/>
  <c r="AA262" i="5"/>
  <c r="M40" i="5"/>
  <c r="T38" i="5" s="1"/>
  <c r="E587" i="49"/>
  <c r="G587" i="49" s="1"/>
  <c r="M41" i="5"/>
  <c r="E588" i="49"/>
  <c r="G588" i="49" s="1"/>
  <c r="E481" i="49"/>
  <c r="G481" i="49" s="1"/>
  <c r="E480" i="49"/>
  <c r="G480" i="49" s="1"/>
  <c r="AA217" i="5"/>
  <c r="E482" i="49"/>
  <c r="G482" i="49" s="1"/>
  <c r="AA308" i="5"/>
  <c r="E700" i="49"/>
  <c r="G700" i="49" s="1"/>
  <c r="N48" i="5"/>
  <c r="E407" i="49"/>
  <c r="G407" i="49" s="1"/>
  <c r="E410" i="49"/>
  <c r="G410" i="49" s="1"/>
  <c r="E411" i="49"/>
  <c r="G411" i="49" s="1"/>
  <c r="E412" i="49"/>
  <c r="G412" i="49" s="1"/>
  <c r="E408" i="49"/>
  <c r="G408" i="49" s="1"/>
  <c r="AA194" i="5"/>
  <c r="E409" i="49"/>
  <c r="G409" i="49" s="1"/>
  <c r="E511" i="49"/>
  <c r="G511" i="49" s="1"/>
  <c r="E512" i="49"/>
  <c r="G512" i="49" s="1"/>
  <c r="AA233" i="5"/>
  <c r="AA90" i="5"/>
  <c r="E194" i="49"/>
  <c r="G194" i="49" s="1"/>
  <c r="E195" i="49"/>
  <c r="G195" i="49" s="1"/>
  <c r="AA364" i="5"/>
  <c r="E843" i="49"/>
  <c r="G843" i="49" s="1"/>
  <c r="E665" i="49"/>
  <c r="G665" i="49" s="1"/>
  <c r="AA291" i="5"/>
  <c r="E666" i="49"/>
  <c r="G666" i="49" s="1"/>
  <c r="E664" i="49"/>
  <c r="G664" i="49" s="1"/>
  <c r="E663" i="49"/>
  <c r="G663" i="49" s="1"/>
  <c r="E344" i="49"/>
  <c r="G344" i="49" s="1"/>
  <c r="AA162" i="5"/>
  <c r="E42" i="49"/>
  <c r="G42" i="49" s="1"/>
  <c r="AA16" i="5"/>
  <c r="E44" i="49"/>
  <c r="G44" i="49" s="1"/>
  <c r="E45" i="49"/>
  <c r="G45" i="49" s="1"/>
  <c r="E43" i="49"/>
  <c r="G43" i="49" s="1"/>
  <c r="E557" i="49"/>
  <c r="G557" i="49" s="1"/>
  <c r="E559" i="49"/>
  <c r="G559" i="49" s="1"/>
  <c r="N37" i="5"/>
  <c r="E558" i="49"/>
  <c r="G558" i="49" s="1"/>
  <c r="AA249" i="5"/>
  <c r="N43" i="5"/>
  <c r="AA279" i="5"/>
  <c r="E452" i="49"/>
  <c r="G452" i="49" s="1"/>
  <c r="E453" i="49"/>
  <c r="G453" i="49" s="1"/>
  <c r="AA206" i="5"/>
  <c r="E451" i="49"/>
  <c r="G451" i="49" s="1"/>
  <c r="AA326" i="5"/>
  <c r="E754" i="49"/>
  <c r="G754" i="49" s="1"/>
  <c r="E756" i="49"/>
  <c r="G756" i="49" s="1"/>
  <c r="E755" i="49"/>
  <c r="G755" i="49" s="1"/>
  <c r="E753" i="49"/>
  <c r="G753" i="49" s="1"/>
  <c r="E234" i="49"/>
  <c r="G234" i="49" s="1"/>
  <c r="AA107" i="5"/>
  <c r="AA260" i="5"/>
  <c r="E584" i="49"/>
  <c r="G584" i="49" s="1"/>
  <c r="AA94" i="5"/>
  <c r="E205" i="49"/>
  <c r="G205" i="49" s="1"/>
  <c r="E204" i="49"/>
  <c r="G204" i="49" s="1"/>
  <c r="E354" i="49"/>
  <c r="G354" i="49" s="1"/>
  <c r="M29" i="5"/>
  <c r="AA176" i="5"/>
  <c r="M28" i="5"/>
  <c r="T39" i="5" s="1"/>
  <c r="E729" i="49"/>
  <c r="G729" i="49" s="1"/>
  <c r="AA318" i="5"/>
  <c r="E728" i="49"/>
  <c r="G728" i="49" s="1"/>
  <c r="E730" i="49"/>
  <c r="G730" i="49" s="1"/>
  <c r="L26" i="5"/>
  <c r="AA157" i="5"/>
  <c r="E124" i="49"/>
  <c r="G124" i="49" s="1"/>
  <c r="AA51" i="5"/>
  <c r="E123" i="49"/>
  <c r="G123" i="49" s="1"/>
  <c r="AA91" i="5"/>
  <c r="N15" i="5"/>
  <c r="N14" i="5"/>
  <c r="U34" i="5" s="1"/>
  <c r="E197" i="49"/>
  <c r="G197" i="49" s="1"/>
  <c r="E198" i="49"/>
  <c r="G198" i="49" s="1"/>
  <c r="E196" i="49"/>
  <c r="G196" i="49" s="1"/>
  <c r="AA75" i="5"/>
  <c r="E167" i="49"/>
  <c r="G167" i="49" s="1"/>
  <c r="E169" i="49"/>
  <c r="G169" i="49" s="1"/>
  <c r="E168" i="49"/>
  <c r="G168" i="49" s="1"/>
  <c r="E703" i="49"/>
  <c r="G703" i="49" s="1"/>
  <c r="AA311" i="5"/>
  <c r="AA297" i="5"/>
  <c r="E678" i="49"/>
  <c r="G678" i="49" s="1"/>
  <c r="E679" i="49"/>
  <c r="G679" i="49" s="1"/>
  <c r="M47" i="5"/>
  <c r="E714" i="49"/>
  <c r="G714" i="49" s="1"/>
  <c r="AA314" i="5"/>
  <c r="E713" i="49"/>
  <c r="G713" i="49" s="1"/>
  <c r="E712" i="49"/>
  <c r="G712" i="49" s="1"/>
  <c r="E86" i="49"/>
  <c r="G86" i="49" s="1"/>
  <c r="AA31" i="5"/>
  <c r="AA184" i="5"/>
  <c r="E371" i="49"/>
  <c r="G371" i="49" s="1"/>
  <c r="E372" i="49"/>
  <c r="G372" i="49" s="1"/>
  <c r="E475" i="49"/>
  <c r="G475" i="49" s="1"/>
  <c r="E471" i="49"/>
  <c r="G471" i="49" s="1"/>
  <c r="E473" i="49"/>
  <c r="G473" i="49" s="1"/>
  <c r="E474" i="49"/>
  <c r="G474" i="49" s="1"/>
  <c r="AA215" i="5"/>
  <c r="E472" i="49"/>
  <c r="G472" i="49" s="1"/>
  <c r="E236" i="49"/>
  <c r="G236" i="49" s="1"/>
  <c r="AA109" i="5"/>
  <c r="E403" i="49"/>
  <c r="G403" i="49" s="1"/>
  <c r="AA193" i="5"/>
  <c r="E405" i="49"/>
  <c r="G405" i="49" s="1"/>
  <c r="E402" i="49"/>
  <c r="G402" i="49" s="1"/>
  <c r="M31" i="5"/>
  <c r="E401" i="49"/>
  <c r="G401" i="49" s="1"/>
  <c r="E404" i="49"/>
  <c r="G404" i="49" s="1"/>
  <c r="E406" i="49"/>
  <c r="G406" i="49" s="1"/>
  <c r="E620" i="49"/>
  <c r="G620" i="49" s="1"/>
  <c r="AA270" i="5"/>
  <c r="E837" i="49"/>
  <c r="G837" i="49" s="1"/>
  <c r="AA358" i="5"/>
  <c r="N56" i="5"/>
  <c r="M58" i="5"/>
  <c r="AA365" i="5"/>
  <c r="E108" i="49"/>
  <c r="G108" i="49" s="1"/>
  <c r="AA45" i="5"/>
  <c r="E107" i="49"/>
  <c r="G107" i="49" s="1"/>
  <c r="AA61" i="5"/>
  <c r="E143" i="49"/>
  <c r="G143" i="49" s="1"/>
  <c r="E142" i="49"/>
  <c r="G142" i="49" s="1"/>
  <c r="E112" i="49"/>
  <c r="G112" i="49" s="1"/>
  <c r="E113" i="49"/>
  <c r="G113" i="49" s="1"/>
  <c r="E114" i="49"/>
  <c r="G114" i="49" s="1"/>
  <c r="AA47" i="5"/>
  <c r="AA101" i="5"/>
  <c r="E222" i="49"/>
  <c r="G222" i="49" s="1"/>
  <c r="E223" i="49"/>
  <c r="G223" i="49" s="1"/>
  <c r="E315" i="49"/>
  <c r="G315" i="49" s="1"/>
  <c r="E316" i="49"/>
  <c r="G316" i="49" s="1"/>
  <c r="E317" i="49"/>
  <c r="G317" i="49" s="1"/>
  <c r="E318" i="49"/>
  <c r="G318" i="49" s="1"/>
  <c r="AA143" i="5"/>
  <c r="M50" i="5"/>
  <c r="E721" i="49"/>
  <c r="G721" i="49" s="1"/>
  <c r="E722" i="49"/>
  <c r="G722" i="49" s="1"/>
  <c r="E723" i="49"/>
  <c r="G723" i="49" s="1"/>
  <c r="M49" i="5"/>
  <c r="T35" i="5" s="1"/>
  <c r="AA316" i="5"/>
  <c r="AA99" i="5"/>
  <c r="E218" i="49"/>
  <c r="G218" i="49" s="1"/>
  <c r="E217" i="49"/>
  <c r="G217" i="49" s="1"/>
  <c r="AA167" i="5"/>
  <c r="E346" i="49"/>
  <c r="G346" i="49" s="1"/>
  <c r="AA299" i="5"/>
  <c r="E683" i="49"/>
  <c r="G683" i="49" s="1"/>
  <c r="E57" i="49"/>
  <c r="G57" i="49" s="1"/>
  <c r="AA22" i="5"/>
  <c r="E58" i="49"/>
  <c r="G58" i="49" s="1"/>
  <c r="E59" i="49"/>
  <c r="G59" i="49" s="1"/>
  <c r="AA306" i="5"/>
  <c r="M48" i="5"/>
  <c r="E698" i="49"/>
  <c r="G698" i="49" s="1"/>
  <c r="E127" i="49"/>
  <c r="G127" i="49" s="1"/>
  <c r="AA53" i="5"/>
  <c r="E128" i="49"/>
  <c r="G128" i="49" s="1"/>
  <c r="E129" i="49"/>
  <c r="G129" i="49" s="1"/>
  <c r="AA142" i="5"/>
  <c r="E312" i="49"/>
  <c r="G312" i="49" s="1"/>
  <c r="E314" i="49"/>
  <c r="G314" i="49" s="1"/>
  <c r="E313" i="49"/>
  <c r="G313" i="49" s="1"/>
  <c r="E491" i="49"/>
  <c r="G491" i="49" s="1"/>
  <c r="AA223" i="5"/>
  <c r="E552" i="49"/>
  <c r="G552" i="49" s="1"/>
  <c r="AA247" i="5"/>
  <c r="E553" i="49"/>
  <c r="G553" i="49" s="1"/>
  <c r="E551" i="49"/>
  <c r="G551" i="49" s="1"/>
  <c r="AA354" i="5"/>
  <c r="E833" i="49"/>
  <c r="G833" i="49" s="1"/>
  <c r="E136" i="49"/>
  <c r="G136" i="49" s="1"/>
  <c r="AA56" i="5"/>
  <c r="E135" i="49"/>
  <c r="G135" i="49" s="1"/>
  <c r="E33" i="49"/>
  <c r="AA14" i="5"/>
  <c r="E35" i="49"/>
  <c r="G35" i="49" s="1"/>
  <c r="E34" i="49"/>
  <c r="G34" i="49" s="1"/>
  <c r="E36" i="49"/>
  <c r="G36" i="49" s="1"/>
  <c r="E38" i="49"/>
  <c r="G38" i="49" s="1"/>
  <c r="E37" i="49"/>
  <c r="G37" i="49" s="1"/>
  <c r="L37" i="5"/>
  <c r="E540" i="49"/>
  <c r="G540" i="49" s="1"/>
  <c r="AA243" i="5"/>
  <c r="E539" i="49"/>
  <c r="G539" i="49" s="1"/>
  <c r="E541" i="49"/>
  <c r="G541" i="49" s="1"/>
  <c r="E419" i="49"/>
  <c r="G419" i="49" s="1"/>
  <c r="E420" i="49"/>
  <c r="G420" i="49" s="1"/>
  <c r="E421" i="49"/>
  <c r="G421" i="49" s="1"/>
  <c r="AA196" i="5"/>
  <c r="E423" i="49"/>
  <c r="G423" i="49" s="1"/>
  <c r="E417" i="49"/>
  <c r="G417" i="49" s="1"/>
  <c r="E418" i="49"/>
  <c r="G418" i="49" s="1"/>
  <c r="E422" i="49"/>
  <c r="G422" i="49" s="1"/>
  <c r="E345" i="49"/>
  <c r="G345" i="49" s="1"/>
  <c r="AA164" i="5"/>
  <c r="E605" i="49"/>
  <c r="G605" i="49" s="1"/>
  <c r="E607" i="49"/>
  <c r="G607" i="49" s="1"/>
  <c r="E606" i="49"/>
  <c r="G606" i="49" s="1"/>
  <c r="E601" i="49"/>
  <c r="G601" i="49" s="1"/>
  <c r="AA267" i="5"/>
  <c r="E603" i="49"/>
  <c r="G603" i="49" s="1"/>
  <c r="E604" i="49"/>
  <c r="G604" i="49" s="1"/>
  <c r="E602" i="49"/>
  <c r="G602" i="49" s="1"/>
  <c r="E534" i="49"/>
  <c r="G534" i="49" s="1"/>
  <c r="AA241" i="5"/>
  <c r="E535" i="49"/>
  <c r="G535" i="49" s="1"/>
  <c r="M21" i="5"/>
  <c r="AA126" i="5"/>
  <c r="M20" i="5"/>
  <c r="T33" i="5" s="1"/>
  <c r="E272" i="49"/>
  <c r="G272" i="49" s="1"/>
  <c r="E271" i="49"/>
  <c r="G271" i="49" s="1"/>
  <c r="E838" i="49"/>
  <c r="G838" i="49" s="1"/>
  <c r="AA359" i="5"/>
  <c r="E785" i="49"/>
  <c r="G785" i="49" s="1"/>
  <c r="AA340" i="5"/>
  <c r="E689" i="49"/>
  <c r="G689" i="49" s="1"/>
  <c r="E688" i="49"/>
  <c r="G688" i="49" s="1"/>
  <c r="AA302" i="5"/>
  <c r="N47" i="5"/>
  <c r="AA367" i="5"/>
  <c r="N58" i="5"/>
  <c r="L47" i="5"/>
  <c r="E674" i="49"/>
  <c r="G674" i="49" s="1"/>
  <c r="AA295" i="5"/>
  <c r="E675" i="49"/>
  <c r="G675" i="49" s="1"/>
  <c r="AA305" i="5"/>
  <c r="E697" i="49"/>
  <c r="G697" i="49" s="1"/>
  <c r="AA64" i="5"/>
  <c r="M11" i="5"/>
  <c r="E148" i="49"/>
  <c r="G148" i="49" s="1"/>
  <c r="E147" i="49"/>
  <c r="G147" i="49" s="1"/>
  <c r="E486" i="49"/>
  <c r="G486" i="49" s="1"/>
  <c r="AA220" i="5"/>
  <c r="N33" i="5"/>
  <c r="E12" i="49"/>
  <c r="G12" i="49" s="1"/>
  <c r="E10" i="49"/>
  <c r="G10" i="49" s="1"/>
  <c r="E11" i="49"/>
  <c r="G11" i="49" s="1"/>
  <c r="L4" i="5"/>
  <c r="AA8" i="5"/>
  <c r="E670" i="49"/>
  <c r="G670" i="49" s="1"/>
  <c r="AA293" i="5"/>
  <c r="E671" i="49"/>
  <c r="G671" i="49" s="1"/>
  <c r="M52" i="5"/>
  <c r="AA335" i="5"/>
  <c r="E780" i="49"/>
  <c r="G780" i="49" s="1"/>
  <c r="E775" i="49"/>
  <c r="G775" i="49" s="1"/>
  <c r="E779" i="49"/>
  <c r="G779" i="49" s="1"/>
  <c r="AA334" i="5"/>
  <c r="E774" i="49"/>
  <c r="G774" i="49" s="1"/>
  <c r="E777" i="49"/>
  <c r="G777" i="49" s="1"/>
  <c r="E778" i="49"/>
  <c r="G778" i="49" s="1"/>
  <c r="E776" i="49"/>
  <c r="G776" i="49" s="1"/>
  <c r="E829" i="49"/>
  <c r="G829" i="49" s="1"/>
  <c r="AA350" i="5"/>
  <c r="AA252" i="5"/>
  <c r="E569" i="49"/>
  <c r="G569" i="49" s="1"/>
  <c r="N38" i="5"/>
  <c r="N21" i="5"/>
  <c r="E278" i="49"/>
  <c r="G278" i="49" s="1"/>
  <c r="AA129" i="5"/>
  <c r="N20" i="5"/>
  <c r="U33" i="5" s="1"/>
  <c r="E279" i="49"/>
  <c r="G279" i="49" s="1"/>
  <c r="AA140" i="5"/>
  <c r="E307" i="49"/>
  <c r="G307" i="49" s="1"/>
  <c r="E308" i="49"/>
  <c r="G308" i="49" s="1"/>
  <c r="AA208" i="5"/>
  <c r="E457" i="49"/>
  <c r="G457" i="49" s="1"/>
  <c r="E90" i="49"/>
  <c r="G90" i="49" s="1"/>
  <c r="AA35" i="5"/>
  <c r="E518" i="49"/>
  <c r="G518" i="49" s="1"/>
  <c r="E517" i="49"/>
  <c r="G517" i="49" s="1"/>
  <c r="AA235" i="5"/>
  <c r="E26" i="49"/>
  <c r="G26" i="49" s="1"/>
  <c r="AA12" i="5"/>
  <c r="E28" i="49"/>
  <c r="G28" i="49" s="1"/>
  <c r="E27" i="49"/>
  <c r="G27" i="49" s="1"/>
  <c r="E29" i="49"/>
  <c r="G29" i="49" s="1"/>
  <c r="AA34" i="5"/>
  <c r="E89" i="49"/>
  <c r="G89" i="49" s="1"/>
  <c r="AA271" i="5"/>
  <c r="E625" i="49"/>
  <c r="G625" i="49" s="1"/>
  <c r="E623" i="49"/>
  <c r="G623" i="49" s="1"/>
  <c r="E621" i="49"/>
  <c r="G621" i="49" s="1"/>
  <c r="E622" i="49"/>
  <c r="G622" i="49" s="1"/>
  <c r="E624" i="49"/>
  <c r="G624" i="49" s="1"/>
  <c r="AA77" i="5"/>
  <c r="E173" i="49"/>
  <c r="G173" i="49" s="1"/>
  <c r="AA72" i="5"/>
  <c r="L12" i="5"/>
  <c r="E161" i="49"/>
  <c r="G161" i="49" s="1"/>
  <c r="E162" i="49"/>
  <c r="G162" i="49" s="1"/>
  <c r="E392" i="49"/>
  <c r="G392" i="49" s="1"/>
  <c r="AA190" i="5"/>
  <c r="E391" i="49"/>
  <c r="G391" i="49" s="1"/>
  <c r="L31" i="5"/>
  <c r="E529" i="49"/>
  <c r="G529" i="49" s="1"/>
  <c r="AA239" i="5"/>
  <c r="E530" i="49"/>
  <c r="G530" i="49" s="1"/>
  <c r="E528" i="49"/>
  <c r="G528" i="49" s="1"/>
  <c r="AA105" i="5"/>
  <c r="E232" i="49"/>
  <c r="G232" i="49" s="1"/>
  <c r="E231" i="49"/>
  <c r="G231" i="49" s="1"/>
  <c r="M17" i="5"/>
  <c r="E230" i="49"/>
  <c r="G230" i="49" s="1"/>
  <c r="E175" i="49"/>
  <c r="G175" i="49" s="1"/>
  <c r="N12" i="5"/>
  <c r="AA78" i="5"/>
  <c r="E174" i="49"/>
  <c r="G174" i="49" s="1"/>
  <c r="E573" i="49"/>
  <c r="G573" i="49" s="1"/>
  <c r="E574" i="49"/>
  <c r="G574" i="49" s="1"/>
  <c r="AA254" i="5"/>
  <c r="E575" i="49"/>
  <c r="G575" i="49" s="1"/>
  <c r="E380" i="49"/>
  <c r="G380" i="49" s="1"/>
  <c r="E383" i="49"/>
  <c r="G383" i="49" s="1"/>
  <c r="E384" i="49"/>
  <c r="G384" i="49" s="1"/>
  <c r="E382" i="49"/>
  <c r="G382" i="49" s="1"/>
  <c r="AA187" i="5"/>
  <c r="E379" i="49"/>
  <c r="G379" i="49" s="1"/>
  <c r="E381" i="49"/>
  <c r="E20" i="49"/>
  <c r="G20" i="49" s="1"/>
  <c r="AA10" i="5"/>
  <c r="M4" i="5"/>
  <c r="E21" i="49"/>
  <c r="G21" i="49" s="1"/>
  <c r="E18" i="49"/>
  <c r="G18" i="49" s="1"/>
  <c r="E19" i="49"/>
  <c r="G19" i="49" s="1"/>
  <c r="E17" i="49"/>
  <c r="G17" i="49" s="1"/>
  <c r="E47" i="49"/>
  <c r="G47" i="49" s="1"/>
  <c r="AA18" i="5"/>
  <c r="E393" i="49"/>
  <c r="G393" i="49" s="1"/>
  <c r="E396" i="49"/>
  <c r="G396" i="49" s="1"/>
  <c r="AA191" i="5"/>
  <c r="E397" i="49"/>
  <c r="G397" i="49" s="1"/>
  <c r="E395" i="49"/>
  <c r="G395" i="49" s="1"/>
  <c r="E394" i="49"/>
  <c r="G394" i="49" s="1"/>
  <c r="E654" i="49"/>
  <c r="G654" i="49" s="1"/>
  <c r="AA285" i="5"/>
  <c r="E321" i="49"/>
  <c r="G321" i="49" s="1"/>
  <c r="E323" i="49"/>
  <c r="G323" i="49" s="1"/>
  <c r="E322" i="49"/>
  <c r="G322" i="49" s="1"/>
  <c r="E320" i="49"/>
  <c r="G320" i="49" s="1"/>
  <c r="AA144" i="5"/>
  <c r="E319" i="49"/>
  <c r="G319" i="49" s="1"/>
  <c r="N42" i="5"/>
  <c r="AA272" i="5"/>
  <c r="E627" i="49"/>
  <c r="G627" i="49" s="1"/>
  <c r="E626" i="49"/>
  <c r="G626" i="49" s="1"/>
  <c r="E630" i="49"/>
  <c r="G630" i="49" s="1"/>
  <c r="E628" i="49"/>
  <c r="G628" i="49" s="1"/>
  <c r="E629" i="49"/>
  <c r="G629" i="49" s="1"/>
  <c r="E350" i="49"/>
  <c r="G350" i="49" s="1"/>
  <c r="AA174" i="5"/>
  <c r="E385" i="49"/>
  <c r="G385" i="49" s="1"/>
  <c r="AA188" i="5"/>
  <c r="E387" i="49"/>
  <c r="G387" i="49" s="1"/>
  <c r="E386" i="49"/>
  <c r="G386" i="49" s="1"/>
  <c r="N30" i="5"/>
  <c r="E432" i="49"/>
  <c r="G432" i="49" s="1"/>
  <c r="E434" i="49"/>
  <c r="G434" i="49" s="1"/>
  <c r="E433" i="49"/>
  <c r="G433" i="49" s="1"/>
  <c r="E429" i="49"/>
  <c r="G429" i="49" s="1"/>
  <c r="AA198" i="5"/>
  <c r="E431" i="49"/>
  <c r="G431" i="49" s="1"/>
  <c r="E430" i="49"/>
  <c r="G430" i="49" s="1"/>
  <c r="E356" i="49"/>
  <c r="G356" i="49" s="1"/>
  <c r="AA177" i="5"/>
  <c r="E355" i="49"/>
  <c r="G355" i="49" s="1"/>
  <c r="E364" i="49"/>
  <c r="G364" i="49" s="1"/>
  <c r="L30" i="5"/>
  <c r="E363" i="49"/>
  <c r="G363" i="49" s="1"/>
  <c r="AA181" i="5"/>
  <c r="AB181" i="5" s="1"/>
  <c r="E685" i="49"/>
  <c r="G685" i="49" s="1"/>
  <c r="E684" i="49"/>
  <c r="G684" i="49" s="1"/>
  <c r="AA300" i="5"/>
  <c r="AA108" i="5"/>
  <c r="E235" i="49"/>
  <c r="G235" i="49" s="1"/>
  <c r="E827" i="49"/>
  <c r="G827" i="49" s="1"/>
  <c r="AA348" i="5"/>
  <c r="E368" i="49"/>
  <c r="G368" i="49" s="1"/>
  <c r="E369" i="49"/>
  <c r="G369" i="49" s="1"/>
  <c r="AA183" i="5"/>
  <c r="E370" i="49"/>
  <c r="G370" i="49" s="1"/>
  <c r="M30" i="5"/>
  <c r="E254" i="49"/>
  <c r="G254" i="49" s="1"/>
  <c r="E255" i="49"/>
  <c r="G255" i="49" s="1"/>
  <c r="M19" i="5"/>
  <c r="AA116" i="5"/>
  <c r="AA15" i="5"/>
  <c r="N4" i="5"/>
  <c r="E40" i="49"/>
  <c r="G40" i="49" s="1"/>
  <c r="N2" i="5"/>
  <c r="U37" i="5" s="1"/>
  <c r="E39" i="49"/>
  <c r="G39" i="49" s="1"/>
  <c r="E41" i="49"/>
  <c r="G41" i="49" s="1"/>
  <c r="AA240" i="5"/>
  <c r="E531" i="49"/>
  <c r="G531" i="49" s="1"/>
  <c r="E532" i="49"/>
  <c r="G532" i="49" s="1"/>
  <c r="E533" i="49"/>
  <c r="G533" i="49" s="1"/>
  <c r="AA264" i="5"/>
  <c r="E590" i="49"/>
  <c r="G590" i="49" s="1"/>
  <c r="AA277" i="5"/>
  <c r="E648" i="49"/>
  <c r="G648" i="49" s="1"/>
  <c r="E810" i="49"/>
  <c r="G810" i="49" s="1"/>
  <c r="E809" i="49"/>
  <c r="G809" i="49" s="1"/>
  <c r="E811" i="49"/>
  <c r="G811" i="49" s="1"/>
  <c r="E808" i="49"/>
  <c r="G808" i="49" s="1"/>
  <c r="E812" i="49"/>
  <c r="G812" i="49" s="1"/>
  <c r="E807" i="49"/>
  <c r="G807" i="49" s="1"/>
  <c r="AA344" i="5"/>
  <c r="AA111" i="5"/>
  <c r="E241" i="49"/>
  <c r="G241" i="49" s="1"/>
  <c r="E240" i="49"/>
  <c r="G240" i="49" s="1"/>
  <c r="E239" i="49"/>
  <c r="G239" i="49" s="1"/>
  <c r="E439" i="49"/>
  <c r="G439" i="49" s="1"/>
  <c r="E441" i="49"/>
  <c r="G441" i="49" s="1"/>
  <c r="E438" i="49"/>
  <c r="G438" i="49" s="1"/>
  <c r="E440" i="49"/>
  <c r="G440" i="49" s="1"/>
  <c r="AA200" i="5"/>
  <c r="E814" i="49"/>
  <c r="G814" i="49" s="1"/>
  <c r="E815" i="49"/>
  <c r="G815" i="49" s="1"/>
  <c r="N53" i="5"/>
  <c r="U41" i="5" s="1"/>
  <c r="E816" i="49"/>
  <c r="G816" i="49" s="1"/>
  <c r="E817" i="49"/>
  <c r="G817" i="49" s="1"/>
  <c r="AA345" i="5"/>
  <c r="E818" i="49"/>
  <c r="G818" i="49" s="1"/>
  <c r="E813" i="49"/>
  <c r="G813" i="49" s="1"/>
  <c r="N54" i="5"/>
  <c r="AA169" i="5"/>
  <c r="M27" i="5"/>
  <c r="AA259" i="5"/>
  <c r="E582" i="49"/>
  <c r="G582" i="49" s="1"/>
  <c r="E583" i="49"/>
  <c r="G583" i="49" s="1"/>
  <c r="E581" i="49"/>
  <c r="G581" i="49" s="1"/>
  <c r="E467" i="49"/>
  <c r="G467" i="49" s="1"/>
  <c r="AA213" i="5"/>
  <c r="E468" i="49"/>
  <c r="G468" i="49" s="1"/>
  <c r="N32" i="5"/>
  <c r="E668" i="49"/>
  <c r="G668" i="49" s="1"/>
  <c r="M46" i="5"/>
  <c r="AA292" i="5"/>
  <c r="E669" i="49"/>
  <c r="G669" i="49" s="1"/>
  <c r="M45" i="5"/>
  <c r="T40" i="5" s="1"/>
  <c r="E667" i="49"/>
  <c r="G667" i="49" s="1"/>
  <c r="AA210" i="5"/>
  <c r="E460" i="49"/>
  <c r="G460" i="49" s="1"/>
  <c r="E461" i="49"/>
  <c r="G461" i="49" s="1"/>
  <c r="E459" i="49"/>
  <c r="G459" i="49" s="1"/>
  <c r="E98" i="49"/>
  <c r="G98" i="49" s="1"/>
  <c r="AA39" i="5"/>
  <c r="E520" i="49"/>
  <c r="G520" i="49" s="1"/>
  <c r="E519" i="49"/>
  <c r="G519" i="49" s="1"/>
  <c r="AA236" i="5"/>
  <c r="N6" i="5"/>
  <c r="E83" i="49"/>
  <c r="G83" i="49" s="1"/>
  <c r="AA28" i="5"/>
  <c r="E93" i="49"/>
  <c r="G93" i="49" s="1"/>
  <c r="E94" i="49"/>
  <c r="G94" i="49" s="1"/>
  <c r="E96" i="49"/>
  <c r="G96" i="49" s="1"/>
  <c r="E95" i="49"/>
  <c r="G95" i="49" s="1"/>
  <c r="AA37" i="5"/>
  <c r="E97" i="49"/>
  <c r="G97" i="49" s="1"/>
  <c r="N41" i="5"/>
  <c r="N40" i="5"/>
  <c r="U38" i="5" s="1"/>
  <c r="AA265" i="5"/>
  <c r="E591" i="49"/>
  <c r="G591" i="49" s="1"/>
  <c r="E795" i="49"/>
  <c r="G795" i="49" s="1"/>
  <c r="E797" i="49"/>
  <c r="G797" i="49" s="1"/>
  <c r="E799" i="49"/>
  <c r="G799" i="49" s="1"/>
  <c r="E796" i="49"/>
  <c r="G796" i="49" s="1"/>
  <c r="E794" i="49"/>
  <c r="G794" i="49" s="1"/>
  <c r="AA342" i="5"/>
  <c r="E798" i="49"/>
  <c r="G798" i="49" s="1"/>
  <c r="E793" i="49"/>
  <c r="G793" i="49" s="1"/>
  <c r="E193" i="49"/>
  <c r="G193" i="49" s="1"/>
  <c r="E192" i="49"/>
  <c r="G192" i="49" s="1"/>
  <c r="AA89" i="5"/>
  <c r="N52" i="5"/>
  <c r="AA337" i="5"/>
  <c r="E782" i="49"/>
  <c r="G782" i="49" s="1"/>
  <c r="E349" i="49"/>
  <c r="G349" i="49" s="1"/>
  <c r="E348" i="49"/>
  <c r="G348" i="49" s="1"/>
  <c r="AA173" i="5"/>
  <c r="E343" i="49"/>
  <c r="G343" i="49" s="1"/>
  <c r="AA155" i="5"/>
  <c r="E339" i="49"/>
  <c r="G339" i="49" s="1"/>
  <c r="E341" i="49"/>
  <c r="G341" i="49" s="1"/>
  <c r="E337" i="49"/>
  <c r="G337" i="49" s="1"/>
  <c r="E338" i="49"/>
  <c r="G338" i="49" s="1"/>
  <c r="AA148" i="5"/>
  <c r="E340" i="49"/>
  <c r="G340" i="49" s="1"/>
  <c r="E580" i="49"/>
  <c r="G580" i="49" s="1"/>
  <c r="AA258" i="5"/>
  <c r="E734" i="49"/>
  <c r="G734" i="49" s="1"/>
  <c r="AA320" i="5"/>
  <c r="E733" i="49"/>
  <c r="G733" i="49" s="1"/>
  <c r="E735" i="49"/>
  <c r="G735" i="49" s="1"/>
  <c r="E736" i="49"/>
  <c r="G736" i="49" s="1"/>
  <c r="E288" i="49"/>
  <c r="G288" i="49" s="1"/>
  <c r="E292" i="49"/>
  <c r="G292" i="49" s="1"/>
  <c r="E290" i="49"/>
  <c r="G290" i="49" s="1"/>
  <c r="E287" i="49"/>
  <c r="G287" i="49" s="1"/>
  <c r="E293" i="49"/>
  <c r="G293" i="49" s="1"/>
  <c r="E291" i="49"/>
  <c r="G291" i="49" s="1"/>
  <c r="AA131" i="5"/>
  <c r="E289" i="49"/>
  <c r="G289" i="49" s="1"/>
  <c r="E831" i="49"/>
  <c r="G831" i="49" s="1"/>
  <c r="AA352" i="5"/>
  <c r="AA255" i="5"/>
  <c r="E576" i="49"/>
  <c r="G576" i="49" s="1"/>
  <c r="M39" i="5"/>
  <c r="E695" i="49"/>
  <c r="G695" i="49" s="1"/>
  <c r="E692" i="49"/>
  <c r="G692" i="49" s="1"/>
  <c r="AA304" i="5"/>
  <c r="E693" i="49"/>
  <c r="G693" i="49" s="1"/>
  <c r="E694" i="49"/>
  <c r="G694" i="49" s="1"/>
  <c r="E696" i="49"/>
  <c r="G696" i="49" s="1"/>
  <c r="E67" i="49"/>
  <c r="G67" i="49" s="1"/>
  <c r="E68" i="49"/>
  <c r="G68" i="49" s="1"/>
  <c r="E69" i="49"/>
  <c r="G69" i="49" s="1"/>
  <c r="N5" i="5"/>
  <c r="AA24" i="5"/>
  <c r="E477" i="49"/>
  <c r="G477" i="49" s="1"/>
  <c r="E478" i="49"/>
  <c r="G478" i="49" s="1"/>
  <c r="E476" i="49"/>
  <c r="G476" i="49" s="1"/>
  <c r="AA216" i="5"/>
  <c r="E479" i="49"/>
  <c r="G479" i="49" s="1"/>
  <c r="E740" i="49"/>
  <c r="G740" i="49" s="1"/>
  <c r="E741" i="49"/>
  <c r="G741" i="49" s="1"/>
  <c r="E745" i="49"/>
  <c r="G745" i="49" s="1"/>
  <c r="E744" i="49"/>
  <c r="G744" i="49" s="1"/>
  <c r="E746" i="49"/>
  <c r="G746" i="49" s="1"/>
  <c r="E743" i="49"/>
  <c r="G743" i="49" s="1"/>
  <c r="E742" i="49"/>
  <c r="G742" i="49" s="1"/>
  <c r="AA322" i="5"/>
  <c r="E257" i="49"/>
  <c r="G257" i="49" s="1"/>
  <c r="AA117" i="5"/>
  <c r="E256" i="49"/>
  <c r="G256" i="49" s="1"/>
  <c r="AA84" i="5"/>
  <c r="E178" i="49"/>
  <c r="G178" i="49" s="1"/>
  <c r="E177" i="49"/>
  <c r="G177" i="49" s="1"/>
  <c r="E691" i="49"/>
  <c r="G691" i="49" s="1"/>
  <c r="AA303" i="5"/>
  <c r="E690" i="49"/>
  <c r="G690" i="49" s="1"/>
  <c r="M55" i="5"/>
  <c r="AA349" i="5"/>
  <c r="E828" i="49"/>
  <c r="G828" i="49" s="1"/>
  <c r="AA351" i="5"/>
  <c r="E830" i="49"/>
  <c r="G830" i="49" s="1"/>
  <c r="N55" i="5"/>
  <c r="E646" i="49"/>
  <c r="G646" i="49" s="1"/>
  <c r="E642" i="49"/>
  <c r="G642" i="49" s="1"/>
  <c r="E640" i="49"/>
  <c r="G640" i="49" s="1"/>
  <c r="E641" i="49"/>
  <c r="G641" i="49" s="1"/>
  <c r="E644" i="49"/>
  <c r="G644" i="49" s="1"/>
  <c r="AA275" i="5"/>
  <c r="E645" i="49"/>
  <c r="G645" i="49" s="1"/>
  <c r="E647" i="49"/>
  <c r="G647" i="49" s="1"/>
  <c r="E643" i="49"/>
  <c r="G643" i="49" s="1"/>
  <c r="E656" i="49"/>
  <c r="G656" i="49" s="1"/>
  <c r="AA288" i="5"/>
  <c r="E657" i="49"/>
  <c r="G657" i="49" s="1"/>
  <c r="E719" i="49"/>
  <c r="G719" i="49" s="1"/>
  <c r="E720" i="49"/>
  <c r="G720" i="49" s="1"/>
  <c r="AA315" i="5"/>
  <c r="E715" i="49"/>
  <c r="G715" i="49" s="1"/>
  <c r="E716" i="49"/>
  <c r="G716" i="49" s="1"/>
  <c r="E717" i="49"/>
  <c r="G717" i="49" s="1"/>
  <c r="E718" i="49"/>
  <c r="G718" i="49" s="1"/>
  <c r="E179" i="49"/>
  <c r="G179" i="49" s="1"/>
  <c r="AA85" i="5"/>
  <c r="AA147" i="5"/>
  <c r="E336" i="49"/>
  <c r="G336" i="49" s="1"/>
  <c r="E335" i="49"/>
  <c r="G335" i="49" s="1"/>
  <c r="E334" i="49"/>
  <c r="G334" i="49" s="1"/>
  <c r="E333" i="49"/>
  <c r="G333" i="49" s="1"/>
  <c r="E268" i="49"/>
  <c r="G268" i="49" s="1"/>
  <c r="AA124" i="5"/>
  <c r="AA137" i="5"/>
  <c r="E300" i="49"/>
  <c r="G300" i="49" s="1"/>
  <c r="E301" i="49"/>
  <c r="G301" i="49" s="1"/>
  <c r="E302" i="49"/>
  <c r="G302" i="49" s="1"/>
  <c r="L42" i="5"/>
  <c r="E598" i="49"/>
  <c r="G598" i="49" s="1"/>
  <c r="E597" i="49"/>
  <c r="G597" i="49" s="1"/>
  <c r="E596" i="49"/>
  <c r="G596" i="49" s="1"/>
  <c r="E599" i="49"/>
  <c r="G599" i="49" s="1"/>
  <c r="E595" i="49"/>
  <c r="G595" i="49" s="1"/>
  <c r="E593" i="49"/>
  <c r="G593" i="49" s="1"/>
  <c r="AA266" i="5"/>
  <c r="E594" i="49"/>
  <c r="G594" i="49" s="1"/>
  <c r="E592" i="49"/>
  <c r="G592" i="49" s="1"/>
  <c r="E600" i="49"/>
  <c r="G600" i="49" s="1"/>
  <c r="AA361" i="5"/>
  <c r="M57" i="5"/>
  <c r="E840" i="49"/>
  <c r="G840" i="49" s="1"/>
  <c r="E362" i="49"/>
  <c r="G362" i="49" s="1"/>
  <c r="AA180" i="5"/>
  <c r="E111" i="49"/>
  <c r="G111" i="49" s="1"/>
  <c r="AA46" i="5"/>
  <c r="E110" i="49"/>
  <c r="G110" i="49" s="1"/>
  <c r="E109" i="49"/>
  <c r="G109" i="49" s="1"/>
  <c r="E79" i="49"/>
  <c r="G79" i="49" s="1"/>
  <c r="E81" i="49"/>
  <c r="G81" i="49" s="1"/>
  <c r="AA27" i="5"/>
  <c r="E82" i="49"/>
  <c r="G82" i="49" s="1"/>
  <c r="E80" i="49"/>
  <c r="G80" i="49" s="1"/>
  <c r="E294" i="49"/>
  <c r="G294" i="49" s="1"/>
  <c r="E295" i="49"/>
  <c r="G295" i="49" s="1"/>
  <c r="M22" i="5"/>
  <c r="AA132" i="5"/>
  <c r="E276" i="49"/>
  <c r="G276" i="49" s="1"/>
  <c r="E275" i="49"/>
  <c r="G275" i="49" s="1"/>
  <c r="E273" i="49"/>
  <c r="G273" i="49" s="1"/>
  <c r="AA127" i="5"/>
  <c r="E274" i="49"/>
  <c r="G274" i="49" s="1"/>
  <c r="AA59" i="5"/>
  <c r="E140" i="49"/>
  <c r="G140" i="49" s="1"/>
  <c r="E211" i="49"/>
  <c r="G211" i="49" s="1"/>
  <c r="E209" i="49"/>
  <c r="G209" i="49" s="1"/>
  <c r="E210" i="49"/>
  <c r="G210" i="49" s="1"/>
  <c r="M16" i="5"/>
  <c r="AA96" i="5"/>
  <c r="AA57" i="5"/>
  <c r="E137" i="49"/>
  <c r="G137" i="49" s="1"/>
  <c r="E846" i="49"/>
  <c r="G846" i="49" s="1"/>
  <c r="AA370" i="5"/>
  <c r="AA207" i="5"/>
  <c r="E455" i="49"/>
  <c r="G455" i="49" s="1"/>
  <c r="E454" i="49"/>
  <c r="G454" i="49" s="1"/>
  <c r="E456" i="49"/>
  <c r="G456" i="49" s="1"/>
  <c r="E487" i="49"/>
  <c r="G487" i="49" s="1"/>
  <c r="AA221" i="5"/>
  <c r="E32" i="49"/>
  <c r="G32" i="49" s="1"/>
  <c r="AA13" i="5"/>
  <c r="E30" i="49"/>
  <c r="G30" i="49" s="1"/>
  <c r="E31" i="49"/>
  <c r="G31" i="49" s="1"/>
  <c r="E437" i="49"/>
  <c r="G437" i="49" s="1"/>
  <c r="E435" i="49"/>
  <c r="G435" i="49" s="1"/>
  <c r="AA199" i="5"/>
  <c r="E436" i="49"/>
  <c r="G436" i="49" s="1"/>
  <c r="E183" i="49"/>
  <c r="G183" i="49" s="1"/>
  <c r="E182" i="49"/>
  <c r="G182" i="49" s="1"/>
  <c r="L14" i="5"/>
  <c r="S34" i="5" s="1"/>
  <c r="E180" i="49"/>
  <c r="G180" i="49" s="1"/>
  <c r="L15" i="5"/>
  <c r="E181" i="49"/>
  <c r="G181" i="49" s="1"/>
  <c r="AA86" i="5"/>
  <c r="E636" i="49"/>
  <c r="G636" i="49" s="1"/>
  <c r="E638" i="49"/>
  <c r="G638" i="49" s="1"/>
  <c r="E633" i="49"/>
  <c r="G633" i="49" s="1"/>
  <c r="E631" i="49"/>
  <c r="G631" i="49" s="1"/>
  <c r="E634" i="49"/>
  <c r="G634" i="49" s="1"/>
  <c r="AA273" i="5"/>
  <c r="E637" i="49"/>
  <c r="G637" i="49" s="1"/>
  <c r="E632" i="49"/>
  <c r="G632" i="49" s="1"/>
  <c r="E635" i="49"/>
  <c r="G635" i="49" s="1"/>
  <c r="E49" i="49"/>
  <c r="G49" i="49" s="1"/>
  <c r="E48" i="49"/>
  <c r="G48" i="49" s="1"/>
  <c r="E50" i="49"/>
  <c r="G50" i="49" s="1"/>
  <c r="E51" i="49"/>
  <c r="G51" i="49" s="1"/>
  <c r="E52" i="49"/>
  <c r="G52" i="49" s="1"/>
  <c r="AA19" i="5"/>
  <c r="E87" i="49"/>
  <c r="G87" i="49" s="1"/>
  <c r="L8" i="5"/>
  <c r="L7" i="5"/>
  <c r="S42" i="5" s="1"/>
  <c r="AA32" i="5"/>
  <c r="AA139" i="5"/>
  <c r="E306" i="49"/>
  <c r="G306" i="49" s="1"/>
  <c r="E305" i="49"/>
  <c r="G305" i="49" s="1"/>
  <c r="N22" i="5"/>
  <c r="E101" i="49"/>
  <c r="G101" i="49" s="1"/>
  <c r="E99" i="49"/>
  <c r="G99" i="49" s="1"/>
  <c r="L9" i="5"/>
  <c r="O9" i="5" s="1"/>
  <c r="AA42" i="5"/>
  <c r="E100" i="49"/>
  <c r="G100" i="49" s="1"/>
  <c r="AA353" i="5"/>
  <c r="E832" i="49"/>
  <c r="G832" i="49" s="1"/>
  <c r="L56" i="5"/>
  <c r="K141" i="39"/>
  <c r="L319" i="39"/>
  <c r="J391" i="39"/>
  <c r="I223" i="39"/>
  <c r="K356" i="39"/>
  <c r="J369" i="39"/>
  <c r="J233" i="39"/>
  <c r="L384" i="39"/>
  <c r="L387" i="39"/>
  <c r="L317" i="39"/>
  <c r="L372" i="39"/>
  <c r="I157" i="39"/>
  <c r="K247" i="39"/>
  <c r="I160" i="39"/>
  <c r="K366" i="39"/>
  <c r="J158" i="39"/>
  <c r="L254" i="39"/>
  <c r="J289" i="39"/>
  <c r="K97" i="39"/>
  <c r="I82" i="39"/>
  <c r="J388" i="39"/>
  <c r="K186" i="39"/>
  <c r="K233" i="39"/>
  <c r="J392" i="39"/>
  <c r="K428" i="39"/>
  <c r="K351" i="39"/>
  <c r="L113" i="39"/>
  <c r="K321" i="39"/>
  <c r="L225" i="39"/>
  <c r="J210" i="39"/>
  <c r="K129" i="39"/>
  <c r="K80" i="39"/>
  <c r="K416" i="39"/>
  <c r="I406" i="39"/>
  <c r="I249" i="39"/>
  <c r="L312" i="39"/>
  <c r="K95" i="39"/>
  <c r="J123" i="39"/>
  <c r="I334" i="39"/>
  <c r="K330" i="39"/>
  <c r="I107" i="39"/>
  <c r="K202" i="39"/>
  <c r="K373" i="39"/>
  <c r="I144" i="39"/>
  <c r="I146" i="39"/>
  <c r="I261" i="39"/>
  <c r="K312" i="39"/>
  <c r="J405" i="39"/>
  <c r="L146" i="39"/>
  <c r="K300" i="39"/>
  <c r="I297" i="39"/>
  <c r="I362" i="39"/>
  <c r="I205" i="39"/>
  <c r="I244" i="39"/>
  <c r="L321" i="39"/>
  <c r="L123" i="39"/>
  <c r="K132" i="39"/>
  <c r="L144" i="39"/>
  <c r="J384" i="39"/>
  <c r="I197" i="39"/>
  <c r="I93" i="39"/>
  <c r="J244" i="39"/>
  <c r="J393" i="39"/>
  <c r="K316" i="39"/>
  <c r="J170" i="39"/>
  <c r="K362" i="39"/>
  <c r="J220" i="39"/>
  <c r="L298" i="39"/>
  <c r="I421" i="39"/>
  <c r="L187" i="39"/>
  <c r="J230" i="39"/>
  <c r="K82" i="39"/>
  <c r="J367" i="39"/>
  <c r="L318" i="39"/>
  <c r="J135" i="39"/>
  <c r="J402" i="39"/>
  <c r="I332" i="39"/>
  <c r="J142" i="39"/>
  <c r="J140" i="39"/>
  <c r="L103" i="39"/>
  <c r="L153" i="39"/>
  <c r="I178" i="39"/>
  <c r="L419" i="39"/>
  <c r="J439" i="39"/>
  <c r="K381" i="39"/>
  <c r="L356" i="39"/>
  <c r="J109" i="39"/>
  <c r="L94" i="39"/>
  <c r="K434" i="39"/>
  <c r="K279" i="39"/>
  <c r="K251" i="39"/>
  <c r="J114" i="39"/>
  <c r="J108" i="39"/>
  <c r="K360" i="39"/>
  <c r="L258" i="39"/>
  <c r="L314" i="39"/>
  <c r="K319" i="39"/>
  <c r="J247" i="39"/>
  <c r="L90" i="39"/>
  <c r="L117" i="39"/>
  <c r="L265" i="39"/>
  <c r="L157" i="39"/>
  <c r="K331" i="39"/>
  <c r="J299" i="39"/>
  <c r="L269" i="39"/>
  <c r="L426" i="39"/>
  <c r="L371" i="39"/>
  <c r="K380" i="39"/>
  <c r="L192" i="39"/>
  <c r="I119" i="39"/>
  <c r="I115" i="39"/>
  <c r="J370" i="39"/>
  <c r="K269" i="39"/>
  <c r="K222" i="39"/>
  <c r="L152" i="39"/>
  <c r="I313" i="39"/>
  <c r="L398" i="39"/>
  <c r="J147" i="39"/>
  <c r="I315" i="39"/>
  <c r="K318" i="39"/>
  <c r="J189" i="39"/>
  <c r="L253" i="39"/>
  <c r="K294" i="39"/>
  <c r="J223" i="39"/>
  <c r="J284" i="39"/>
  <c r="J378" i="39"/>
  <c r="J217" i="39"/>
  <c r="I375" i="39"/>
  <c r="I173" i="39"/>
  <c r="L83" i="39"/>
  <c r="J432" i="39"/>
  <c r="I252" i="39"/>
  <c r="K253" i="39"/>
  <c r="J105" i="39"/>
  <c r="L136" i="39"/>
  <c r="I137" i="39"/>
  <c r="L150" i="39"/>
  <c r="I432" i="39"/>
  <c r="J111" i="39"/>
  <c r="I339" i="39"/>
  <c r="J251" i="39"/>
  <c r="J93" i="39"/>
  <c r="K215" i="39"/>
  <c r="K107" i="39"/>
  <c r="L404" i="39"/>
  <c r="J340" i="39"/>
  <c r="J351" i="39"/>
  <c r="J256" i="39"/>
  <c r="K447" i="39"/>
  <c r="L266" i="39"/>
  <c r="I420" i="39"/>
  <c r="I326" i="39"/>
  <c r="K263" i="39"/>
  <c r="I181" i="39"/>
  <c r="K188" i="39"/>
  <c r="L432" i="39"/>
  <c r="J376" i="39"/>
  <c r="K399" i="39"/>
  <c r="L336" i="39"/>
  <c r="K415" i="39"/>
  <c r="J242" i="39"/>
  <c r="I425" i="39"/>
  <c r="K114" i="39"/>
  <c r="J418" i="39"/>
  <c r="J255" i="39"/>
  <c r="J339" i="39"/>
  <c r="I198" i="39"/>
  <c r="I214" i="39"/>
  <c r="I360" i="39"/>
  <c r="I443" i="39"/>
  <c r="J366" i="39"/>
  <c r="J97" i="39"/>
  <c r="L158" i="39"/>
  <c r="J157" i="39"/>
  <c r="I357" i="39"/>
  <c r="K235" i="39"/>
  <c r="I251" i="39"/>
  <c r="J290" i="39"/>
  <c r="L125" i="39"/>
  <c r="L320" i="39"/>
  <c r="J166" i="39"/>
  <c r="K214" i="39"/>
  <c r="J335" i="39"/>
  <c r="K258" i="39"/>
  <c r="L92" i="39"/>
  <c r="K118" i="39"/>
  <c r="I270" i="39"/>
  <c r="I358" i="39"/>
  <c r="L347" i="39"/>
  <c r="I129" i="39"/>
  <c r="L199" i="39"/>
  <c r="K432" i="39"/>
  <c r="K105" i="39"/>
  <c r="J254" i="39"/>
  <c r="K229" i="39"/>
  <c r="K446" i="39"/>
  <c r="I392" i="39"/>
  <c r="J128" i="39"/>
  <c r="K169" i="39"/>
  <c r="K225" i="39"/>
  <c r="J181" i="39"/>
  <c r="L164" i="39"/>
  <c r="L389" i="39"/>
  <c r="I87" i="39"/>
  <c r="J342" i="39"/>
  <c r="J286" i="39"/>
  <c r="I373" i="39"/>
  <c r="I274" i="39"/>
  <c r="I372" i="39"/>
  <c r="J323" i="39"/>
  <c r="L412" i="39"/>
  <c r="L274" i="39"/>
  <c r="I354" i="39"/>
  <c r="J322" i="39"/>
  <c r="I429" i="39"/>
  <c r="K87" i="39"/>
  <c r="K243" i="39"/>
  <c r="J261" i="39"/>
  <c r="L96" i="39"/>
  <c r="L357" i="39"/>
  <c r="I400" i="39"/>
  <c r="J214" i="39"/>
  <c r="I378" i="39"/>
  <c r="I126" i="39"/>
  <c r="I323" i="39"/>
  <c r="I341" i="39"/>
  <c r="I149" i="39"/>
  <c r="I247" i="39"/>
  <c r="K135" i="39"/>
  <c r="K285" i="39"/>
  <c r="K423" i="39"/>
  <c r="I282" i="39"/>
  <c r="I298" i="39"/>
  <c r="J285" i="39"/>
  <c r="L229" i="39"/>
  <c r="L203" i="39"/>
  <c r="J94" i="39"/>
  <c r="K117" i="39"/>
  <c r="L241" i="39"/>
  <c r="I277" i="39"/>
  <c r="L437" i="39"/>
  <c r="L219" i="39"/>
  <c r="L237" i="39"/>
  <c r="K401" i="39"/>
  <c r="K161" i="39"/>
  <c r="J224" i="39"/>
  <c r="L166" i="39"/>
  <c r="L380" i="39"/>
  <c r="K345" i="39"/>
  <c r="L111" i="39"/>
  <c r="J264" i="39"/>
  <c r="L154" i="39"/>
  <c r="L147" i="39"/>
  <c r="I84" i="39"/>
  <c r="L174" i="39"/>
  <c r="L406" i="39"/>
  <c r="J280" i="39"/>
  <c r="I370" i="39"/>
  <c r="J341" i="39"/>
  <c r="I188" i="39"/>
  <c r="J171" i="39"/>
  <c r="I413" i="39"/>
  <c r="J248" i="39"/>
  <c r="I290" i="39"/>
  <c r="K289" i="39"/>
  <c r="J441" i="39"/>
  <c r="L193" i="39"/>
  <c r="I172" i="39"/>
  <c r="K353" i="39"/>
  <c r="K218" i="39"/>
  <c r="J349" i="39"/>
  <c r="K334" i="39"/>
  <c r="I201" i="39"/>
  <c r="J357" i="39"/>
  <c r="K206" i="39"/>
  <c r="I94" i="39"/>
  <c r="L141" i="39"/>
  <c r="I193" i="39"/>
  <c r="L222" i="39"/>
  <c r="I397" i="39"/>
  <c r="K371" i="39"/>
  <c r="L338" i="39"/>
  <c r="K445" i="39"/>
  <c r="K175" i="39"/>
  <c r="K375" i="39"/>
  <c r="J406" i="39"/>
  <c r="K261" i="39"/>
  <c r="K142" i="39"/>
  <c r="I81" i="39"/>
  <c r="L89" i="39"/>
  <c r="L88" i="39"/>
  <c r="J215" i="39"/>
  <c r="L442" i="39"/>
  <c r="K93" i="39"/>
  <c r="L354" i="39"/>
  <c r="J98" i="39"/>
  <c r="K153" i="39"/>
  <c r="J234" i="39"/>
  <c r="K328" i="39"/>
  <c r="L139" i="39"/>
  <c r="K226" i="39"/>
  <c r="L311" i="39"/>
  <c r="J209" i="39"/>
  <c r="L361" i="39"/>
  <c r="J185" i="39"/>
  <c r="L194" i="39"/>
  <c r="K406" i="39"/>
  <c r="K398" i="39"/>
  <c r="J92" i="39"/>
  <c r="J375" i="39"/>
  <c r="L119" i="39"/>
  <c r="I98" i="39"/>
  <c r="L282" i="39"/>
  <c r="L183" i="39"/>
  <c r="J309" i="39"/>
  <c r="J334" i="39"/>
  <c r="I138" i="39"/>
  <c r="I167" i="39"/>
  <c r="J96" i="39"/>
  <c r="L142" i="39"/>
  <c r="L341" i="39"/>
  <c r="I328" i="39"/>
  <c r="I199" i="39"/>
  <c r="K408" i="39"/>
  <c r="K369" i="39"/>
  <c r="I368" i="39"/>
  <c r="I380" i="39"/>
  <c r="L334" i="39"/>
  <c r="K383" i="39"/>
  <c r="L369" i="39"/>
  <c r="I227" i="39"/>
  <c r="J113" i="39"/>
  <c r="J295" i="39"/>
  <c r="L105" i="39"/>
  <c r="L230" i="39"/>
  <c r="J356" i="39"/>
  <c r="K208" i="39"/>
  <c r="L331" i="39"/>
  <c r="I242" i="39"/>
  <c r="I109" i="39"/>
  <c r="J156" i="39"/>
  <c r="L172" i="39"/>
  <c r="J317" i="39"/>
  <c r="L397" i="39"/>
  <c r="I254" i="39"/>
  <c r="J200" i="39"/>
  <c r="I97" i="39"/>
  <c r="I110" i="39"/>
  <c r="J390" i="39"/>
  <c r="J278" i="39"/>
  <c r="K149" i="39"/>
  <c r="L169" i="39"/>
  <c r="J328" i="39"/>
  <c r="K439" i="39"/>
  <c r="K133" i="39"/>
  <c r="J162" i="39"/>
  <c r="I331" i="39"/>
  <c r="K325" i="39"/>
  <c r="L217" i="39"/>
  <c r="L393" i="39"/>
  <c r="J159" i="39"/>
  <c r="L161" i="39"/>
  <c r="K179" i="39"/>
  <c r="K387" i="39"/>
  <c r="K287" i="39"/>
  <c r="L378" i="39"/>
  <c r="K357" i="39"/>
  <c r="K84" i="39"/>
  <c r="L350" i="39"/>
  <c r="L233" i="39"/>
  <c r="L212" i="39"/>
  <c r="J337" i="39"/>
  <c r="K88" i="39"/>
  <c r="L276" i="39"/>
  <c r="L362" i="39"/>
  <c r="J347" i="39"/>
  <c r="L279" i="39"/>
  <c r="K276" i="39"/>
  <c r="J428" i="39"/>
  <c r="L95" i="39"/>
  <c r="I265" i="39"/>
  <c r="K125" i="39"/>
  <c r="L370" i="39"/>
  <c r="L116" i="39"/>
  <c r="J262" i="39"/>
  <c r="K166" i="39"/>
  <c r="I95" i="39"/>
  <c r="I344" i="39"/>
  <c r="J271" i="39"/>
  <c r="J362" i="39"/>
  <c r="J358" i="39"/>
  <c r="K194" i="39"/>
  <c r="K90" i="39"/>
  <c r="I258" i="39"/>
  <c r="K230" i="39"/>
  <c r="K396" i="39"/>
  <c r="L392" i="39"/>
  <c r="J260" i="39"/>
  <c r="L401" i="39"/>
  <c r="I179" i="39"/>
  <c r="J431" i="39"/>
  <c r="K385" i="39"/>
  <c r="L214" i="39"/>
  <c r="J423" i="39"/>
  <c r="I435" i="39"/>
  <c r="K386" i="39"/>
  <c r="K158" i="39"/>
  <c r="L149" i="39"/>
  <c r="J225" i="39"/>
  <c r="K412" i="39"/>
  <c r="L106" i="39"/>
  <c r="I208" i="39"/>
  <c r="J410" i="39"/>
  <c r="I390" i="39"/>
  <c r="L359" i="39"/>
  <c r="J354" i="39"/>
  <c r="J273" i="39"/>
  <c r="I218" i="39"/>
  <c r="L296" i="39"/>
  <c r="I308" i="39"/>
  <c r="L200" i="39"/>
  <c r="J343" i="39"/>
  <c r="J268" i="39"/>
  <c r="I239" i="39"/>
  <c r="I366" i="39"/>
  <c r="L423" i="39"/>
  <c r="J134" i="39"/>
  <c r="J196" i="39"/>
  <c r="L285" i="39"/>
  <c r="J372" i="39"/>
  <c r="I176" i="39"/>
  <c r="J232" i="39"/>
  <c r="J394" i="39"/>
  <c r="K163" i="39"/>
  <c r="I322" i="39"/>
  <c r="J141" i="39"/>
  <c r="L248" i="39"/>
  <c r="L257" i="39"/>
  <c r="K115" i="39"/>
  <c r="I158" i="39"/>
  <c r="J413" i="39"/>
  <c r="I114" i="39"/>
  <c r="K284" i="39"/>
  <c r="I154" i="39"/>
  <c r="J313" i="39"/>
  <c r="L445" i="39"/>
  <c r="K212" i="39"/>
  <c r="J403" i="39"/>
  <c r="I337" i="39"/>
  <c r="L402" i="39"/>
  <c r="L295" i="39"/>
  <c r="K382" i="39"/>
  <c r="L327" i="39"/>
  <c r="L209" i="39"/>
  <c r="L256" i="39"/>
  <c r="L281" i="39"/>
  <c r="J179" i="39"/>
  <c r="K361" i="39"/>
  <c r="I134" i="39"/>
  <c r="J182" i="39"/>
  <c r="J383" i="39"/>
  <c r="I395" i="39"/>
  <c r="I220" i="39"/>
  <c r="I100" i="39"/>
  <c r="I207" i="39"/>
  <c r="K256" i="39"/>
  <c r="I263" i="39"/>
  <c r="K426" i="39"/>
  <c r="K250" i="39"/>
  <c r="L375" i="39"/>
  <c r="J99" i="39"/>
  <c r="L218" i="39"/>
  <c r="J293" i="39"/>
  <c r="K160" i="39"/>
  <c r="K388" i="39"/>
  <c r="I186" i="39"/>
  <c r="I407" i="39"/>
  <c r="I147" i="39"/>
  <c r="J202" i="39"/>
  <c r="J180" i="39"/>
  <c r="K268" i="39"/>
  <c r="J377" i="39"/>
  <c r="L132" i="39"/>
  <c r="K223" i="39"/>
  <c r="J416" i="39"/>
  <c r="L396" i="39"/>
  <c r="K162" i="39"/>
  <c r="K190" i="39"/>
  <c r="I393" i="39"/>
  <c r="I280" i="39"/>
  <c r="J259" i="39"/>
  <c r="J269" i="39"/>
  <c r="K176" i="39"/>
  <c r="L201" i="39"/>
  <c r="I431" i="39"/>
  <c r="L206" i="39"/>
  <c r="I408" i="39"/>
  <c r="L335" i="39"/>
  <c r="J173" i="39"/>
  <c r="I418" i="39"/>
  <c r="J315" i="39"/>
  <c r="I217" i="39"/>
  <c r="K213" i="39"/>
  <c r="J329" i="39"/>
  <c r="L138" i="39"/>
  <c r="K138" i="39"/>
  <c r="J165" i="39"/>
  <c r="I142" i="39"/>
  <c r="J84" i="39"/>
  <c r="K238" i="39"/>
  <c r="K405" i="39"/>
  <c r="I389" i="39"/>
  <c r="J204" i="39"/>
  <c r="L427" i="39"/>
  <c r="K338" i="39"/>
  <c r="L244" i="39"/>
  <c r="I213" i="39"/>
  <c r="L344" i="39"/>
  <c r="K354" i="39"/>
  <c r="J110" i="39"/>
  <c r="I132" i="39"/>
  <c r="I153" i="39"/>
  <c r="I120" i="39"/>
  <c r="I256" i="39"/>
  <c r="J336" i="39"/>
  <c r="I237" i="39"/>
  <c r="L128" i="39"/>
  <c r="J270" i="39"/>
  <c r="I347" i="39"/>
  <c r="L271" i="39"/>
  <c r="L353" i="39"/>
  <c r="L127" i="39"/>
  <c r="J348" i="39"/>
  <c r="K209" i="39"/>
  <c r="K402" i="39"/>
  <c r="J442" i="39"/>
  <c r="I101" i="39"/>
  <c r="L115" i="39"/>
  <c r="L407" i="39"/>
  <c r="L332" i="39"/>
  <c r="J186" i="39"/>
  <c r="L333" i="39"/>
  <c r="J412" i="39"/>
  <c r="L374" i="39"/>
  <c r="K309" i="39"/>
  <c r="I273" i="39"/>
  <c r="I346" i="39"/>
  <c r="I345" i="39"/>
  <c r="L227" i="39"/>
  <c r="I412" i="39"/>
  <c r="K241" i="39"/>
  <c r="L289" i="39"/>
  <c r="J272" i="39"/>
  <c r="K83" i="39"/>
  <c r="L267" i="39"/>
  <c r="I281" i="39"/>
  <c r="J319" i="39"/>
  <c r="J246" i="39"/>
  <c r="K417" i="39"/>
  <c r="K217" i="39"/>
  <c r="J360" i="39"/>
  <c r="I349" i="39"/>
  <c r="L240" i="39"/>
  <c r="L275" i="39"/>
  <c r="L181" i="39"/>
  <c r="K224" i="39"/>
  <c r="K187" i="39"/>
  <c r="I145" i="39"/>
  <c r="K101" i="39"/>
  <c r="K320" i="39"/>
  <c r="K352" i="39"/>
  <c r="I363" i="39"/>
  <c r="J291" i="39"/>
  <c r="K171" i="39"/>
  <c r="I204" i="39"/>
  <c r="J107" i="39"/>
  <c r="I415" i="39"/>
  <c r="L143" i="39"/>
  <c r="K98" i="39"/>
  <c r="J118" i="39"/>
  <c r="I116" i="39"/>
  <c r="L273" i="39"/>
  <c r="I338" i="39"/>
  <c r="J294" i="39"/>
  <c r="J447" i="39"/>
  <c r="I253" i="39"/>
  <c r="L381" i="39"/>
  <c r="L211" i="39"/>
  <c r="J279" i="39"/>
  <c r="K359" i="39"/>
  <c r="L163" i="39"/>
  <c r="J379" i="39"/>
  <c r="L126" i="39"/>
  <c r="I291" i="39"/>
  <c r="K340" i="39"/>
  <c r="L364" i="39"/>
  <c r="K435" i="39"/>
  <c r="I92" i="39"/>
  <c r="J172" i="39"/>
  <c r="L104" i="39"/>
  <c r="L228" i="39"/>
  <c r="J397" i="39"/>
  <c r="I221" i="39"/>
  <c r="K293" i="39"/>
  <c r="K236" i="39"/>
  <c r="J414" i="39"/>
  <c r="J425" i="39"/>
  <c r="K211" i="39"/>
  <c r="L210" i="39"/>
  <c r="J245" i="39"/>
  <c r="K278" i="39"/>
  <c r="L101" i="39"/>
  <c r="L198" i="39"/>
  <c r="L410" i="39"/>
  <c r="L441" i="39"/>
  <c r="I364" i="39"/>
  <c r="K255" i="39"/>
  <c r="L329" i="39"/>
  <c r="K197" i="39"/>
  <c r="I441" i="39"/>
  <c r="K92" i="39"/>
  <c r="K79" i="39"/>
  <c r="I440" i="39"/>
  <c r="L191" i="39"/>
  <c r="L405" i="39"/>
  <c r="K143" i="39"/>
  <c r="I437" i="39"/>
  <c r="L84" i="39"/>
  <c r="I121" i="39"/>
  <c r="I268" i="39"/>
  <c r="J83" i="39"/>
  <c r="K343" i="39"/>
  <c r="I353" i="39"/>
  <c r="J327" i="39"/>
  <c r="L417" i="39"/>
  <c r="I171" i="39"/>
  <c r="I203" i="39"/>
  <c r="J415" i="39"/>
  <c r="J296" i="39"/>
  <c r="K281" i="39"/>
  <c r="J350" i="39"/>
  <c r="K119" i="39"/>
  <c r="L109" i="39"/>
  <c r="J424" i="39"/>
  <c r="K246" i="39"/>
  <c r="K259" i="39"/>
  <c r="K189" i="39"/>
  <c r="I374" i="39"/>
  <c r="L262" i="39"/>
  <c r="L134" i="39"/>
  <c r="J283" i="39"/>
  <c r="I312" i="39"/>
  <c r="L421" i="39"/>
  <c r="K377" i="39"/>
  <c r="L173" i="39"/>
  <c r="J216" i="39"/>
  <c r="J359" i="39"/>
  <c r="L323" i="39"/>
  <c r="K234" i="39"/>
  <c r="J201" i="39"/>
  <c r="I231" i="39"/>
  <c r="L438" i="39"/>
  <c r="L82" i="39"/>
  <c r="L171" i="39"/>
  <c r="J146" i="39"/>
  <c r="K207" i="39"/>
  <c r="L330" i="39"/>
  <c r="I386" i="39"/>
  <c r="K270" i="39"/>
  <c r="J404" i="39"/>
  <c r="I225" i="39"/>
  <c r="L272" i="39"/>
  <c r="K421" i="39"/>
  <c r="J104" i="39"/>
  <c r="J235" i="39"/>
  <c r="K344" i="39"/>
  <c r="J434" i="39"/>
  <c r="J249" i="39"/>
  <c r="I104" i="39"/>
  <c r="I379" i="39"/>
  <c r="L440" i="39"/>
  <c r="J258" i="39"/>
  <c r="K333" i="39"/>
  <c r="K390" i="39"/>
  <c r="I106" i="39"/>
  <c r="L182" i="39"/>
  <c r="J307" i="39"/>
  <c r="I376" i="39"/>
  <c r="K441" i="39"/>
  <c r="L131" i="39"/>
  <c r="K180" i="39"/>
  <c r="K221" i="39"/>
  <c r="L165" i="39"/>
  <c r="I80" i="39"/>
  <c r="L145" i="39"/>
  <c r="I417" i="39"/>
  <c r="K370" i="39"/>
  <c r="K430" i="39"/>
  <c r="J91" i="39"/>
  <c r="J236" i="39"/>
  <c r="L390" i="39"/>
  <c r="K134" i="39"/>
  <c r="I394" i="39"/>
  <c r="J300" i="39"/>
  <c r="J344" i="39"/>
  <c r="I91" i="39"/>
  <c r="K431" i="39"/>
  <c r="I174" i="39"/>
  <c r="I319" i="39"/>
  <c r="I257" i="39"/>
  <c r="K332" i="39"/>
  <c r="K245" i="39"/>
  <c r="J81" i="39"/>
  <c r="I369" i="39"/>
  <c r="I83" i="39"/>
  <c r="I403" i="39"/>
  <c r="L167" i="39"/>
  <c r="K99" i="39"/>
  <c r="L368" i="39"/>
  <c r="I230" i="39"/>
  <c r="L430" i="39"/>
  <c r="I164" i="39"/>
  <c r="J311" i="39"/>
  <c r="I99" i="39"/>
  <c r="I111" i="39"/>
  <c r="J194" i="39"/>
  <c r="J444" i="39"/>
  <c r="I135" i="39"/>
  <c r="I385" i="39"/>
  <c r="K181" i="39"/>
  <c r="K374" i="39"/>
  <c r="K185" i="39"/>
  <c r="J122" i="39"/>
  <c r="J112" i="39"/>
  <c r="I293" i="39"/>
  <c r="I424" i="39"/>
  <c r="I259" i="39"/>
  <c r="K346" i="39"/>
  <c r="L388" i="39"/>
  <c r="I287" i="39"/>
  <c r="I284" i="39"/>
  <c r="K131" i="39"/>
  <c r="L114" i="39"/>
  <c r="I383" i="39"/>
  <c r="I85" i="39"/>
  <c r="K389" i="39"/>
  <c r="L160" i="39"/>
  <c r="J243" i="39"/>
  <c r="J231" i="39"/>
  <c r="J100" i="39"/>
  <c r="I416" i="39"/>
  <c r="J338" i="39"/>
  <c r="L159" i="39"/>
  <c r="J148" i="39"/>
  <c r="I387" i="39"/>
  <c r="I152" i="39"/>
  <c r="J426" i="39"/>
  <c r="J266" i="39"/>
  <c r="K157" i="39"/>
  <c r="L204" i="39"/>
  <c r="K237" i="39"/>
  <c r="J136" i="39"/>
  <c r="J292" i="39"/>
  <c r="I340" i="39"/>
  <c r="J373" i="39"/>
  <c r="L433" i="39"/>
  <c r="J436" i="39"/>
  <c r="I404" i="39"/>
  <c r="K155" i="39"/>
  <c r="I321" i="39"/>
  <c r="I267" i="39"/>
  <c r="K136" i="39"/>
  <c r="L176" i="39"/>
  <c r="L293" i="39"/>
  <c r="I325" i="39"/>
  <c r="J318" i="39"/>
  <c r="K411" i="39"/>
  <c r="L180" i="39"/>
  <c r="K120" i="39"/>
  <c r="I348" i="39"/>
  <c r="I310" i="39"/>
  <c r="I229" i="39"/>
  <c r="J95" i="39"/>
  <c r="I216" i="39"/>
  <c r="J437" i="39"/>
  <c r="L81" i="39"/>
  <c r="I428" i="39"/>
  <c r="L415" i="39"/>
  <c r="I294" i="39"/>
  <c r="I175" i="39"/>
  <c r="K418" i="39"/>
  <c r="K127" i="39"/>
  <c r="K274" i="39"/>
  <c r="L414" i="39"/>
  <c r="K271" i="39"/>
  <c r="J443" i="39"/>
  <c r="L385" i="39"/>
  <c r="K291" i="39"/>
  <c r="L86" i="39"/>
  <c r="I350" i="39"/>
  <c r="J429" i="39"/>
  <c r="J221" i="39"/>
  <c r="I342" i="39"/>
  <c r="K424" i="39"/>
  <c r="K168" i="39"/>
  <c r="K394" i="39"/>
  <c r="I90" i="39"/>
  <c r="K144" i="39"/>
  <c r="J374" i="39"/>
  <c r="K184" i="39"/>
  <c r="I211" i="39"/>
  <c r="I269" i="39"/>
  <c r="I296" i="39"/>
  <c r="I266" i="39"/>
  <c r="K409" i="39"/>
  <c r="J199" i="39"/>
  <c r="K219" i="39"/>
  <c r="J119" i="39"/>
  <c r="J419" i="39"/>
  <c r="K123" i="39"/>
  <c r="L292" i="39"/>
  <c r="I317" i="39"/>
  <c r="I377" i="39"/>
  <c r="L178" i="39"/>
  <c r="I419" i="39"/>
  <c r="I163" i="39"/>
  <c r="K106" i="39"/>
  <c r="I185" i="39"/>
  <c r="K286" i="39"/>
  <c r="I299" i="39"/>
  <c r="J399" i="39"/>
  <c r="K342" i="39"/>
  <c r="L100" i="39"/>
  <c r="L403" i="39"/>
  <c r="K400" i="39"/>
  <c r="J198" i="39"/>
  <c r="L337" i="39"/>
  <c r="K273" i="39"/>
  <c r="K242" i="39"/>
  <c r="L155" i="39"/>
  <c r="K378" i="39"/>
  <c r="I399" i="39"/>
  <c r="J116" i="39"/>
  <c r="L108" i="39"/>
  <c r="J177" i="39"/>
  <c r="I200" i="39"/>
  <c r="J409" i="39"/>
  <c r="L263" i="39"/>
  <c r="J143" i="39"/>
  <c r="J138" i="39"/>
  <c r="J88" i="39"/>
  <c r="L291" i="39"/>
  <c r="I222" i="39"/>
  <c r="K335" i="39"/>
  <c r="L213" i="39"/>
  <c r="K313" i="39"/>
  <c r="I283" i="39"/>
  <c r="J276" i="39"/>
  <c r="L226" i="39"/>
  <c r="I384" i="39"/>
  <c r="I295" i="39"/>
  <c r="K216" i="39"/>
  <c r="K364" i="39"/>
  <c r="J239" i="39"/>
  <c r="I444" i="39"/>
  <c r="L112" i="39"/>
  <c r="L395" i="39"/>
  <c r="I124" i="39"/>
  <c r="I191" i="39"/>
  <c r="J222" i="39"/>
  <c r="I122" i="39"/>
  <c r="L367" i="39"/>
  <c r="J395" i="39"/>
  <c r="K413" i="39"/>
  <c r="L207" i="39"/>
  <c r="I411" i="39"/>
  <c r="K240" i="39"/>
  <c r="I445" i="39"/>
  <c r="J363" i="39"/>
  <c r="K326" i="39"/>
  <c r="K228" i="39"/>
  <c r="L97" i="39"/>
  <c r="K358" i="39"/>
  <c r="J446" i="39"/>
  <c r="I388" i="39"/>
  <c r="I288" i="39"/>
  <c r="I436" i="39"/>
  <c r="K282" i="39"/>
  <c r="J132" i="39"/>
  <c r="J193" i="39"/>
  <c r="I240" i="39"/>
  <c r="K145" i="39"/>
  <c r="J125" i="39"/>
  <c r="L246" i="39"/>
  <c r="L363" i="39"/>
  <c r="L443" i="39"/>
  <c r="I148" i="39"/>
  <c r="L151" i="39"/>
  <c r="L235" i="39"/>
  <c r="J263" i="39"/>
  <c r="J333" i="39"/>
  <c r="I103" i="39"/>
  <c r="J401" i="39"/>
  <c r="L324" i="39"/>
  <c r="L156" i="39"/>
  <c r="J237" i="39"/>
  <c r="L133" i="39"/>
  <c r="K324" i="39"/>
  <c r="I151" i="39"/>
  <c r="J435" i="39"/>
  <c r="K365" i="39"/>
  <c r="I271" i="39"/>
  <c r="K266" i="39"/>
  <c r="J206" i="39"/>
  <c r="K254" i="39"/>
  <c r="I396" i="39"/>
  <c r="K349" i="39"/>
  <c r="K395" i="39"/>
  <c r="K81" i="39"/>
  <c r="I300" i="39"/>
  <c r="K89" i="39"/>
  <c r="I128" i="39"/>
  <c r="L188" i="39"/>
  <c r="L313" i="39"/>
  <c r="L413" i="39"/>
  <c r="J190" i="39"/>
  <c r="K414" i="39"/>
  <c r="K178" i="39"/>
  <c r="K252" i="39"/>
  <c r="K260" i="39"/>
  <c r="I276" i="39"/>
  <c r="L377" i="39"/>
  <c r="L99" i="39"/>
  <c r="L261" i="39"/>
  <c r="I409" i="39"/>
  <c r="J130" i="39"/>
  <c r="J332" i="39"/>
  <c r="J161" i="39"/>
  <c r="K422" i="39"/>
  <c r="K164" i="39"/>
  <c r="K384" i="39"/>
  <c r="J228" i="39"/>
  <c r="K336" i="39"/>
  <c r="L277" i="39"/>
  <c r="K314" i="39"/>
  <c r="K191" i="39"/>
  <c r="I118" i="39"/>
  <c r="L394" i="39"/>
  <c r="L400" i="39"/>
  <c r="L268" i="39"/>
  <c r="J160" i="39"/>
  <c r="J324" i="39"/>
  <c r="L98" i="39"/>
  <c r="J316" i="39"/>
  <c r="I215" i="39"/>
  <c r="L224" i="39"/>
  <c r="L79" i="39"/>
  <c r="K172" i="39"/>
  <c r="L140" i="39"/>
  <c r="L422" i="39"/>
  <c r="J102" i="39"/>
  <c r="I279" i="39"/>
  <c r="L416" i="39"/>
  <c r="K419" i="39"/>
  <c r="L391" i="39"/>
  <c r="I141" i="39"/>
  <c r="K350" i="39"/>
  <c r="K310" i="39"/>
  <c r="L308" i="39"/>
  <c r="J257" i="39"/>
  <c r="I219" i="39"/>
  <c r="I355" i="39"/>
  <c r="L328" i="39"/>
  <c r="L297" i="39"/>
  <c r="I248" i="39"/>
  <c r="K317" i="39"/>
  <c r="I123" i="39"/>
  <c r="J174" i="39"/>
  <c r="L366" i="39"/>
  <c r="L216" i="39"/>
  <c r="L189" i="39"/>
  <c r="I96" i="39"/>
  <c r="J353" i="39"/>
  <c r="L137" i="39"/>
  <c r="L170" i="39"/>
  <c r="K348" i="39"/>
  <c r="J326" i="39"/>
  <c r="I196" i="39"/>
  <c r="K444" i="39"/>
  <c r="K327" i="39"/>
  <c r="K339" i="39"/>
  <c r="K156" i="39"/>
  <c r="J386" i="39"/>
  <c r="K201" i="39"/>
  <c r="I333" i="39"/>
  <c r="J325" i="39"/>
  <c r="K227" i="39"/>
  <c r="L87" i="39"/>
  <c r="K210" i="39"/>
  <c r="K177" i="39"/>
  <c r="I359" i="39"/>
  <c r="K397" i="39"/>
  <c r="K220" i="39"/>
  <c r="L315" i="39"/>
  <c r="K244" i="39"/>
  <c r="J218" i="39"/>
  <c r="J281" i="39"/>
  <c r="L177" i="39"/>
  <c r="L196" i="39"/>
  <c r="L418" i="39"/>
  <c r="L444" i="39"/>
  <c r="I289" i="39"/>
  <c r="L288" i="39"/>
  <c r="I398" i="39"/>
  <c r="K425" i="39"/>
  <c r="J310" i="39"/>
  <c r="L348" i="39"/>
  <c r="J178" i="39"/>
  <c r="J126" i="39"/>
  <c r="L85" i="39"/>
  <c r="L251" i="39"/>
  <c r="I314" i="39"/>
  <c r="I212" i="39"/>
  <c r="K420" i="39"/>
  <c r="I318" i="39"/>
  <c r="J445" i="39"/>
  <c r="I105" i="39"/>
  <c r="J139" i="39"/>
  <c r="J106" i="39"/>
  <c r="K275" i="39"/>
  <c r="K265" i="39"/>
  <c r="K137" i="39"/>
  <c r="K272" i="39"/>
  <c r="K427" i="39"/>
  <c r="J229" i="39"/>
  <c r="L242" i="39"/>
  <c r="I209" i="39"/>
  <c r="K204" i="39"/>
  <c r="I195" i="39"/>
  <c r="I447" i="39"/>
  <c r="K100" i="39"/>
  <c r="I140" i="39"/>
  <c r="J355" i="39"/>
  <c r="K199" i="39"/>
  <c r="J145" i="39"/>
  <c r="I311" i="39"/>
  <c r="L259" i="39"/>
  <c r="L287" i="39"/>
  <c r="J440" i="39"/>
  <c r="J205" i="39"/>
  <c r="J297" i="39"/>
  <c r="K307" i="39"/>
  <c r="J124" i="39"/>
  <c r="L124" i="39"/>
  <c r="I190" i="39"/>
  <c r="L129" i="39"/>
  <c r="I285" i="39"/>
  <c r="L428" i="39"/>
  <c r="L168" i="39"/>
  <c r="K367" i="39"/>
  <c r="J277" i="39"/>
  <c r="J129" i="39"/>
  <c r="J345" i="39"/>
  <c r="K437" i="39"/>
  <c r="K110" i="39"/>
  <c r="L255" i="39"/>
  <c r="J346" i="39"/>
  <c r="K94" i="39"/>
  <c r="K192" i="39"/>
  <c r="L431" i="39"/>
  <c r="J361" i="39"/>
  <c r="K298" i="39"/>
  <c r="I113" i="39"/>
  <c r="K368" i="39"/>
  <c r="L434" i="39"/>
  <c r="L91" i="39"/>
  <c r="J154" i="39"/>
  <c r="I343" i="39"/>
  <c r="I206" i="39"/>
  <c r="J90" i="39"/>
  <c r="K239" i="39"/>
  <c r="I169" i="39"/>
  <c r="J149" i="39"/>
  <c r="I143" i="39"/>
  <c r="I439" i="39"/>
  <c r="I442" i="39"/>
  <c r="I260" i="39"/>
  <c r="J219" i="39"/>
  <c r="L208" i="39"/>
  <c r="K91" i="39"/>
  <c r="J250" i="39"/>
  <c r="J195" i="39"/>
  <c r="J438" i="39"/>
  <c r="I391" i="39"/>
  <c r="L351" i="39"/>
  <c r="L339" i="39"/>
  <c r="J86" i="39"/>
  <c r="K112" i="39"/>
  <c r="K96" i="39"/>
  <c r="K296" i="39"/>
  <c r="J288" i="39"/>
  <c r="L107" i="39"/>
  <c r="J227" i="39"/>
  <c r="J314" i="39"/>
  <c r="J274" i="39"/>
  <c r="I184" i="39"/>
  <c r="K140" i="39"/>
  <c r="J365" i="39"/>
  <c r="L185" i="39"/>
  <c r="J120" i="39"/>
  <c r="K337" i="39"/>
  <c r="K249" i="39"/>
  <c r="I250" i="39"/>
  <c r="J252" i="39"/>
  <c r="J151" i="39"/>
  <c r="J433" i="39"/>
  <c r="J211" i="39"/>
  <c r="K355" i="39"/>
  <c r="K151" i="39"/>
  <c r="I430" i="39"/>
  <c r="K203" i="39"/>
  <c r="J203" i="39"/>
  <c r="J127" i="39"/>
  <c r="J368" i="39"/>
  <c r="L346" i="39"/>
  <c r="K167" i="39"/>
  <c r="J213" i="39"/>
  <c r="L231" i="39"/>
  <c r="L365" i="39"/>
  <c r="I272" i="39"/>
  <c r="I434" i="39"/>
  <c r="L309" i="39"/>
  <c r="K174" i="39"/>
  <c r="K433" i="39"/>
  <c r="I112" i="39"/>
  <c r="K147" i="39"/>
  <c r="J398" i="39"/>
  <c r="I330" i="39"/>
  <c r="J188" i="39"/>
  <c r="I352" i="39"/>
  <c r="I86" i="39"/>
  <c r="K329" i="39"/>
  <c r="J87" i="39"/>
  <c r="K183" i="39"/>
  <c r="I224" i="39"/>
  <c r="I427" i="39"/>
  <c r="J411" i="39"/>
  <c r="I365" i="39"/>
  <c r="J153" i="39"/>
  <c r="I127" i="39"/>
  <c r="K410" i="39"/>
  <c r="L179" i="39"/>
  <c r="J330" i="39"/>
  <c r="J101" i="39"/>
  <c r="I166" i="39"/>
  <c r="J133" i="39"/>
  <c r="L80" i="39"/>
  <c r="J197" i="39"/>
  <c r="I117" i="39"/>
  <c r="L102" i="39"/>
  <c r="J238" i="39"/>
  <c r="K262" i="39"/>
  <c r="L148" i="39"/>
  <c r="L411" i="39"/>
  <c r="J267" i="39"/>
  <c r="I241" i="39"/>
  <c r="I307" i="39"/>
  <c r="I136" i="39"/>
  <c r="L373" i="39"/>
  <c r="L358" i="39"/>
  <c r="L446" i="39"/>
  <c r="J103" i="39"/>
  <c r="K363" i="39"/>
  <c r="J175" i="39"/>
  <c r="I414" i="39"/>
  <c r="L162" i="39"/>
  <c r="J192" i="39"/>
  <c r="I125" i="39"/>
  <c r="I382" i="39"/>
  <c r="J308" i="39"/>
  <c r="J208" i="39"/>
  <c r="I320" i="39"/>
  <c r="L340" i="39"/>
  <c r="L270" i="39"/>
  <c r="J389" i="39"/>
  <c r="L260" i="39"/>
  <c r="K341" i="39"/>
  <c r="L243" i="39"/>
  <c r="L135" i="39"/>
  <c r="K124" i="39"/>
  <c r="J79" i="39"/>
  <c r="J417" i="39"/>
  <c r="L343" i="39"/>
  <c r="I194" i="39"/>
  <c r="I130" i="39"/>
  <c r="I402" i="39"/>
  <c r="I381" i="39"/>
  <c r="I161" i="39"/>
  <c r="J169" i="39"/>
  <c r="K232" i="39"/>
  <c r="J207" i="39"/>
  <c r="I182" i="39"/>
  <c r="I162" i="39"/>
  <c r="K150" i="39"/>
  <c r="I183" i="39"/>
  <c r="L120" i="39"/>
  <c r="J380" i="39"/>
  <c r="L355" i="39"/>
  <c r="L238" i="39"/>
  <c r="J420" i="39"/>
  <c r="J385" i="39"/>
  <c r="I367" i="39"/>
  <c r="L290" i="39"/>
  <c r="L195" i="39"/>
  <c r="I243" i="39"/>
  <c r="J164" i="39"/>
  <c r="J82" i="39"/>
  <c r="K404" i="39"/>
  <c r="K297" i="39"/>
  <c r="K443" i="39"/>
  <c r="J381" i="39"/>
  <c r="K126" i="39"/>
  <c r="J312" i="39"/>
  <c r="J352" i="39"/>
  <c r="I155" i="39"/>
  <c r="L232" i="39"/>
  <c r="J121" i="39"/>
  <c r="K277" i="39"/>
  <c r="L264" i="39"/>
  <c r="L122" i="39"/>
  <c r="I336" i="39"/>
  <c r="L110" i="39"/>
  <c r="K146" i="39"/>
  <c r="I180" i="39"/>
  <c r="L221" i="39"/>
  <c r="K198" i="39"/>
  <c r="L420" i="39"/>
  <c r="J240" i="39"/>
  <c r="I226" i="39"/>
  <c r="I210" i="39"/>
  <c r="J421" i="39"/>
  <c r="I232" i="39"/>
  <c r="I156" i="39"/>
  <c r="L223" i="39"/>
  <c r="L190" i="39"/>
  <c r="L310" i="39"/>
  <c r="K311" i="39"/>
  <c r="L184" i="39"/>
  <c r="I228" i="39"/>
  <c r="J184" i="39"/>
  <c r="L197" i="39"/>
  <c r="I246" i="39"/>
  <c r="I139" i="39"/>
  <c r="J320" i="39"/>
  <c r="K165" i="39"/>
  <c r="K322" i="39"/>
  <c r="L249" i="39"/>
  <c r="K102" i="39"/>
  <c r="L250" i="39"/>
  <c r="K407" i="39"/>
  <c r="I170" i="39"/>
  <c r="L236" i="39"/>
  <c r="J226" i="39"/>
  <c r="L447" i="39"/>
  <c r="L220" i="39"/>
  <c r="I235" i="39"/>
  <c r="L349" i="39"/>
  <c r="K264" i="39"/>
  <c r="J427" i="39"/>
  <c r="I234" i="39"/>
  <c r="L435" i="39"/>
  <c r="L408" i="39"/>
  <c r="I236" i="39"/>
  <c r="K290" i="39"/>
  <c r="J89" i="39"/>
  <c r="L252" i="39"/>
  <c r="J115" i="39"/>
  <c r="K128" i="39"/>
  <c r="L234" i="39"/>
  <c r="L436" i="39"/>
  <c r="K403" i="39"/>
  <c r="L439" i="39"/>
  <c r="K280" i="39"/>
  <c r="J117" i="39"/>
  <c r="K440" i="39"/>
  <c r="L409" i="39"/>
  <c r="L325" i="39"/>
  <c r="L239" i="39"/>
  <c r="K196" i="39"/>
  <c r="I446" i="39"/>
  <c r="J144" i="39"/>
  <c r="J85" i="39"/>
  <c r="L383" i="39"/>
  <c r="I168" i="39"/>
  <c r="L294" i="39"/>
  <c r="K299" i="39"/>
  <c r="I108" i="39"/>
  <c r="I245" i="39"/>
  <c r="I89" i="39"/>
  <c r="I189" i="39"/>
  <c r="I187" i="39"/>
  <c r="I329" i="39"/>
  <c r="K116" i="39"/>
  <c r="L299" i="39"/>
  <c r="J191" i="39"/>
  <c r="I438" i="39"/>
  <c r="J287" i="39"/>
  <c r="K376" i="39"/>
  <c r="J253" i="39"/>
  <c r="I133" i="39"/>
  <c r="I262" i="39"/>
  <c r="I202" i="39"/>
  <c r="K438" i="39"/>
  <c r="J331" i="39"/>
  <c r="K267" i="39"/>
  <c r="I278" i="39"/>
  <c r="I410" i="39"/>
  <c r="K393" i="39"/>
  <c r="J167" i="39"/>
  <c r="K152" i="39"/>
  <c r="L429" i="39"/>
  <c r="K195" i="39"/>
  <c r="J364" i="39"/>
  <c r="K288" i="39"/>
  <c r="I422" i="39"/>
  <c r="J131" i="39"/>
  <c r="J80" i="39"/>
  <c r="L399" i="39"/>
  <c r="K200" i="39"/>
  <c r="L379" i="39"/>
  <c r="J387" i="39"/>
  <c r="L316" i="39"/>
  <c r="J155" i="39"/>
  <c r="J400" i="39"/>
  <c r="J371" i="39"/>
  <c r="K205" i="39"/>
  <c r="K85" i="39"/>
  <c r="K283" i="39"/>
  <c r="L345" i="39"/>
  <c r="K193" i="39"/>
  <c r="L386" i="39"/>
  <c r="I309" i="39"/>
  <c r="I316" i="39"/>
  <c r="L307" i="39"/>
  <c r="I264" i="39"/>
  <c r="K148" i="39"/>
  <c r="L322" i="39"/>
  <c r="I423" i="39"/>
  <c r="K154" i="39"/>
  <c r="J275" i="39"/>
  <c r="K121" i="39"/>
  <c r="J212" i="39"/>
  <c r="J396" i="39"/>
  <c r="L215" i="39"/>
  <c r="J168" i="39"/>
  <c r="I238" i="39"/>
  <c r="I150" i="39"/>
  <c r="L382" i="39"/>
  <c r="L326" i="39"/>
  <c r="L425" i="39"/>
  <c r="J183" i="39"/>
  <c r="J430" i="39"/>
  <c r="I351" i="39"/>
  <c r="L245" i="39"/>
  <c r="I356" i="39"/>
  <c r="L278" i="39"/>
  <c r="I426" i="39"/>
  <c r="I88" i="39"/>
  <c r="K295" i="39"/>
  <c r="K159" i="39"/>
  <c r="L186" i="39"/>
  <c r="K308" i="39"/>
  <c r="J407" i="39"/>
  <c r="K139" i="39"/>
  <c r="L284" i="39"/>
  <c r="I255" i="39"/>
  <c r="I433" i="39"/>
  <c r="L342" i="39"/>
  <c r="J176" i="39"/>
  <c r="I401" i="39"/>
  <c r="L300" i="39"/>
  <c r="K391" i="39"/>
  <c r="K442" i="39"/>
  <c r="J150" i="39"/>
  <c r="L175" i="39"/>
  <c r="L247" i="39"/>
  <c r="L130" i="39"/>
  <c r="I177" i="39"/>
  <c r="K122" i="39"/>
  <c r="K292" i="39"/>
  <c r="I159" i="39"/>
  <c r="L286" i="39"/>
  <c r="L376" i="39"/>
  <c r="K173" i="39"/>
  <c r="L118" i="39"/>
  <c r="K429" i="39"/>
  <c r="J408" i="39"/>
  <c r="L205" i="39"/>
  <c r="L121" i="39"/>
  <c r="K108" i="39"/>
  <c r="J265" i="39"/>
  <c r="I286" i="39"/>
  <c r="L280" i="39"/>
  <c r="K111" i="39"/>
  <c r="J321" i="39"/>
  <c r="I192" i="39"/>
  <c r="I165" i="39"/>
  <c r="K372" i="39"/>
  <c r="K182" i="39"/>
  <c r="J382" i="39"/>
  <c r="J422" i="39"/>
  <c r="K315" i="39"/>
  <c r="K323" i="39"/>
  <c r="I292" i="39"/>
  <c r="K86" i="39"/>
  <c r="K257" i="39"/>
  <c r="K113" i="39"/>
  <c r="K104" i="39"/>
  <c r="K130" i="39"/>
  <c r="L283" i="39"/>
  <c r="J163" i="39"/>
  <c r="K103" i="39"/>
  <c r="J241" i="39"/>
  <c r="J152" i="39"/>
  <c r="I102" i="39"/>
  <c r="J298" i="39"/>
  <c r="K231" i="39"/>
  <c r="K347" i="39"/>
  <c r="I131" i="39"/>
  <c r="I324" i="39"/>
  <c r="I371" i="39"/>
  <c r="K436" i="39"/>
  <c r="J187" i="39"/>
  <c r="I361" i="39"/>
  <c r="L93" i="39"/>
  <c r="I327" i="39"/>
  <c r="I275" i="39"/>
  <c r="I233" i="39"/>
  <c r="J282" i="39"/>
  <c r="J137" i="39"/>
  <c r="L202" i="39"/>
  <c r="L360" i="39"/>
  <c r="K379" i="39"/>
  <c r="I335" i="39"/>
  <c r="K109" i="39"/>
  <c r="L424" i="39"/>
  <c r="K248" i="39"/>
  <c r="K170" i="39"/>
  <c r="L352" i="39"/>
  <c r="K392" i="39"/>
  <c r="I405" i="39"/>
  <c r="B26" i="58" l="1"/>
  <c r="O27" i="5"/>
  <c r="O39" i="5"/>
  <c r="O8" i="5"/>
  <c r="O18" i="5"/>
  <c r="O48" i="5"/>
  <c r="O19" i="5"/>
  <c r="O51" i="5"/>
  <c r="O31" i="5"/>
  <c r="O56" i="5"/>
  <c r="O12" i="5"/>
  <c r="O11" i="5"/>
  <c r="O42" i="5"/>
  <c r="O15" i="5"/>
  <c r="O58" i="5"/>
  <c r="O4" i="5"/>
  <c r="O37" i="5"/>
  <c r="O26" i="5"/>
  <c r="N3" i="49"/>
  <c r="N7" i="49" s="1"/>
  <c r="G381" i="49"/>
  <c r="O57" i="5"/>
  <c r="O6" i="5"/>
  <c r="O23" i="5"/>
  <c r="O47" i="5"/>
  <c r="L3" i="49"/>
  <c r="L7" i="49" s="1"/>
  <c r="G33" i="49"/>
  <c r="O43" i="5"/>
  <c r="G3" i="49"/>
  <c r="K3" i="49"/>
  <c r="K7" i="49" s="1"/>
  <c r="O25" i="5"/>
  <c r="O55" i="5"/>
  <c r="O46" i="5"/>
  <c r="O52" i="5"/>
  <c r="O41" i="5"/>
  <c r="O36" i="5"/>
  <c r="O21" i="5"/>
  <c r="Y47" i="5"/>
  <c r="AB47" i="5" s="1"/>
  <c r="Y50" i="5"/>
  <c r="AB50" i="5" s="1"/>
  <c r="H31" i="34"/>
  <c r="Y42" i="5"/>
  <c r="AB42" i="5" s="1"/>
  <c r="Y53" i="5"/>
  <c r="AB53" i="5" s="1"/>
  <c r="H8" i="16"/>
  <c r="Y51" i="5"/>
  <c r="AB51" i="5" s="1"/>
  <c r="Y44" i="5"/>
  <c r="AB44" i="5" s="1"/>
  <c r="Y52" i="5"/>
  <c r="AB52" i="5" s="1"/>
  <c r="Y46" i="5"/>
  <c r="AB46" i="5" s="1"/>
  <c r="H29" i="39"/>
  <c r="Y45" i="5"/>
  <c r="AB45" i="5" s="1"/>
  <c r="E29" i="39"/>
  <c r="Y43" i="5"/>
  <c r="AB43" i="5" s="1"/>
  <c r="Y49" i="5"/>
  <c r="AB49" i="5" s="1"/>
  <c r="Y48" i="5"/>
  <c r="AB48" i="5" s="1"/>
  <c r="O38" i="5"/>
  <c r="O3" i="5"/>
  <c r="J3" i="49"/>
  <c r="J7" i="49" s="1"/>
  <c r="G84" i="49"/>
  <c r="O5" i="5"/>
  <c r="O29" i="5"/>
  <c r="O54" i="5"/>
  <c r="O32" i="5"/>
  <c r="O10" i="5"/>
  <c r="O22" i="5"/>
  <c r="O17" i="5"/>
  <c r="O13" i="5"/>
  <c r="O30" i="5"/>
  <c r="O33" i="5"/>
  <c r="O16" i="5"/>
  <c r="O50" i="5"/>
  <c r="O44" i="5"/>
  <c r="M3" i="49"/>
  <c r="M7" i="49" s="1"/>
  <c r="G311" i="49"/>
  <c r="B72" i="58" l="1"/>
  <c r="B40" i="58"/>
  <c r="H27" i="34"/>
  <c r="B36" i="58"/>
  <c r="B39" i="58"/>
  <c r="B20" i="58"/>
  <c r="B42" i="58"/>
  <c r="B23" i="58"/>
  <c r="B32" i="58"/>
  <c r="B65" i="58"/>
  <c r="B74" i="58"/>
  <c r="Y270" i="5"/>
  <c r="AB270" i="5" s="1"/>
  <c r="B35" i="58"/>
  <c r="B67" i="58"/>
  <c r="B49" i="58"/>
  <c r="B38" i="58"/>
  <c r="Y71" i="5"/>
  <c r="AB71" i="5" s="1"/>
  <c r="B25" i="58"/>
  <c r="B29" i="58"/>
  <c r="B56" i="58"/>
  <c r="B61" i="58"/>
  <c r="B27" i="58"/>
  <c r="B55" i="58"/>
  <c r="B33" i="58"/>
  <c r="B71" i="58"/>
  <c r="B53" i="58"/>
  <c r="B60" i="58"/>
  <c r="B50" i="58"/>
  <c r="B46" i="58"/>
  <c r="B58" i="58"/>
  <c r="Y162" i="5"/>
  <c r="AB162" i="5" s="1"/>
  <c r="Y356" i="5"/>
  <c r="AB356" i="5" s="1"/>
  <c r="B44" i="58"/>
  <c r="Y247" i="5"/>
  <c r="AB247" i="5" s="1"/>
  <c r="B48" i="58"/>
  <c r="B34" i="58"/>
  <c r="B47" i="58"/>
  <c r="B22" i="58"/>
  <c r="B69" i="58"/>
  <c r="B30" i="58"/>
  <c r="B63" i="58"/>
  <c r="B64" i="58"/>
  <c r="B68" i="58"/>
  <c r="E47" i="39"/>
  <c r="H9" i="14"/>
  <c r="H40" i="34"/>
  <c r="Y306" i="5"/>
  <c r="AB306" i="5" s="1"/>
  <c r="Y36" i="5"/>
  <c r="AB36" i="5" s="1"/>
  <c r="Y171" i="5"/>
  <c r="AB171" i="5" s="1"/>
  <c r="Y169" i="5"/>
  <c r="AB169" i="5" s="1"/>
  <c r="H47" i="39"/>
  <c r="Y173" i="5"/>
  <c r="AB173" i="5" s="1"/>
  <c r="Y172" i="5"/>
  <c r="AB172" i="5" s="1"/>
  <c r="Y174" i="5"/>
  <c r="AB174" i="5" s="1"/>
  <c r="Y259" i="5"/>
  <c r="AB259" i="5" s="1"/>
  <c r="Y170" i="5"/>
  <c r="AB170" i="5" s="1"/>
  <c r="Y257" i="5"/>
  <c r="AB257" i="5" s="1"/>
  <c r="Y41" i="5"/>
  <c r="AB41" i="5" s="1"/>
  <c r="Y38" i="5"/>
  <c r="AB38" i="5" s="1"/>
  <c r="H30" i="34"/>
  <c r="Y39" i="5"/>
  <c r="AB39" i="5" s="1"/>
  <c r="E59" i="39"/>
  <c r="Y40" i="5"/>
  <c r="AB40" i="5" s="1"/>
  <c r="E68" i="39"/>
  <c r="Y307" i="5"/>
  <c r="AB307" i="5" s="1"/>
  <c r="E28" i="39"/>
  <c r="Y116" i="5"/>
  <c r="AB116" i="5" s="1"/>
  <c r="Y32" i="5"/>
  <c r="AB32" i="5" s="1"/>
  <c r="Y37" i="5"/>
  <c r="AB37" i="5" s="1"/>
  <c r="Y260" i="5"/>
  <c r="AB260" i="5" s="1"/>
  <c r="Y34" i="5"/>
  <c r="AB34" i="5" s="1"/>
  <c r="H59" i="39"/>
  <c r="H7" i="16"/>
  <c r="E19" i="34"/>
  <c r="H11" i="1"/>
  <c r="Y113" i="5"/>
  <c r="AB113" i="5" s="1"/>
  <c r="Y256" i="5"/>
  <c r="AB256" i="5" s="1"/>
  <c r="Y255" i="5"/>
  <c r="AB255" i="5" s="1"/>
  <c r="E32" i="34"/>
  <c r="Y258" i="5"/>
  <c r="AB258" i="5" s="1"/>
  <c r="H62" i="39"/>
  <c r="Y327" i="5"/>
  <c r="AB327" i="5" s="1"/>
  <c r="H28" i="39"/>
  <c r="Y33" i="5"/>
  <c r="AB33" i="5" s="1"/>
  <c r="Y35" i="5"/>
  <c r="AB35" i="5" s="1"/>
  <c r="Y308" i="5"/>
  <c r="AB308" i="5" s="1"/>
  <c r="Y310" i="5"/>
  <c r="AB310" i="5" s="1"/>
  <c r="Y311" i="5"/>
  <c r="AB311" i="5" s="1"/>
  <c r="Y309" i="5"/>
  <c r="AB309" i="5" s="1"/>
  <c r="H9" i="19"/>
  <c r="H20" i="34"/>
  <c r="H68" i="39"/>
  <c r="Y110" i="5"/>
  <c r="AB110" i="5" s="1"/>
  <c r="Y111" i="5"/>
  <c r="AB111" i="5" s="1"/>
  <c r="Y120" i="5"/>
  <c r="AB120" i="5" s="1"/>
  <c r="Y118" i="5"/>
  <c r="AB118" i="5" s="1"/>
  <c r="Y119" i="5"/>
  <c r="AB119" i="5" s="1"/>
  <c r="Y115" i="5"/>
  <c r="AB115" i="5" s="1"/>
  <c r="H10" i="8"/>
  <c r="E38" i="39"/>
  <c r="Y114" i="5"/>
  <c r="AB114" i="5" s="1"/>
  <c r="H38" i="39"/>
  <c r="Y112" i="5"/>
  <c r="AB112" i="5" s="1"/>
  <c r="Y325" i="5"/>
  <c r="AB325" i="5" s="1"/>
  <c r="Y329" i="5"/>
  <c r="AB329" i="5" s="1"/>
  <c r="H39" i="39"/>
  <c r="H11" i="8"/>
  <c r="Y121" i="5"/>
  <c r="AB121" i="5" s="1"/>
  <c r="E39" i="39"/>
  <c r="Y117" i="5"/>
  <c r="AB117" i="5" s="1"/>
  <c r="E20" i="34"/>
  <c r="Y79" i="5"/>
  <c r="AB79" i="5" s="1"/>
  <c r="Y328" i="5"/>
  <c r="AB328" i="5" s="1"/>
  <c r="E71" i="39"/>
  <c r="Y333" i="5"/>
  <c r="AB333" i="5" s="1"/>
  <c r="Y326" i="5"/>
  <c r="AB326" i="5" s="1"/>
  <c r="H8" i="21"/>
  <c r="Y330" i="5"/>
  <c r="AB330" i="5" s="1"/>
  <c r="Y332" i="5"/>
  <c r="AB332" i="5" s="1"/>
  <c r="E32" i="39"/>
  <c r="Y76" i="5"/>
  <c r="AB76" i="5" s="1"/>
  <c r="Y73" i="5"/>
  <c r="AB73" i="5" s="1"/>
  <c r="Y158" i="5"/>
  <c r="AB158" i="5" s="1"/>
  <c r="H11" i="16"/>
  <c r="Y78" i="5"/>
  <c r="AB78" i="5" s="1"/>
  <c r="Y72" i="5"/>
  <c r="AB72" i="5" s="1"/>
  <c r="Y77" i="5"/>
  <c r="AB77" i="5" s="1"/>
  <c r="Y74" i="5"/>
  <c r="AB74" i="5" s="1"/>
  <c r="H34" i="34"/>
  <c r="Y75" i="5"/>
  <c r="AB75" i="5" s="1"/>
  <c r="H32" i="39"/>
  <c r="Y160" i="5"/>
  <c r="AB160" i="5" s="1"/>
  <c r="Y165" i="5"/>
  <c r="AB165" i="5" s="1"/>
  <c r="Y324" i="5"/>
  <c r="AB324" i="5" s="1"/>
  <c r="H7" i="8"/>
  <c r="E16" i="34"/>
  <c r="E35" i="39"/>
  <c r="Y94" i="5"/>
  <c r="AB94" i="5" s="1"/>
  <c r="H71" i="39"/>
  <c r="E24" i="34"/>
  <c r="Y93" i="5"/>
  <c r="AB93" i="5" s="1"/>
  <c r="Y331" i="5"/>
  <c r="AB331" i="5" s="1"/>
  <c r="E78" i="39"/>
  <c r="Y334" i="5"/>
  <c r="AB334" i="5" s="1"/>
  <c r="Y192" i="5"/>
  <c r="AB192" i="5" s="1"/>
  <c r="Y353" i="5"/>
  <c r="AB353" i="5" s="1"/>
  <c r="Y359" i="5"/>
  <c r="AB359" i="5" s="1"/>
  <c r="Y273" i="5"/>
  <c r="AB273" i="5" s="1"/>
  <c r="Y271" i="5"/>
  <c r="AB271" i="5" s="1"/>
  <c r="H35" i="39"/>
  <c r="Y87" i="5"/>
  <c r="AB87" i="5" s="1"/>
  <c r="Y370" i="5"/>
  <c r="AB370" i="5" s="1"/>
  <c r="Y91" i="5"/>
  <c r="AB91" i="5" s="1"/>
  <c r="Y88" i="5"/>
  <c r="AB88" i="5" s="1"/>
  <c r="H78" i="39"/>
  <c r="Y92" i="5"/>
  <c r="AB92" i="5" s="1"/>
  <c r="Y89" i="5"/>
  <c r="AB89" i="5" s="1"/>
  <c r="Y90" i="5"/>
  <c r="AB90" i="5" s="1"/>
  <c r="Y86" i="5"/>
  <c r="AB86" i="5" s="1"/>
  <c r="Y367" i="5"/>
  <c r="AB367" i="5" s="1"/>
  <c r="Y268" i="5"/>
  <c r="AB268" i="5" s="1"/>
  <c r="Y274" i="5"/>
  <c r="AB274" i="5" s="1"/>
  <c r="Y272" i="5"/>
  <c r="AB272" i="5" s="1"/>
  <c r="E62" i="39"/>
  <c r="Y266" i="5"/>
  <c r="AB266" i="5" s="1"/>
  <c r="E76" i="39"/>
  <c r="Y358" i="5"/>
  <c r="AB358" i="5" s="1"/>
  <c r="Y357" i="5"/>
  <c r="AB357" i="5" s="1"/>
  <c r="H25" i="34"/>
  <c r="E51" i="39"/>
  <c r="H9" i="20"/>
  <c r="H76" i="39"/>
  <c r="Y355" i="5"/>
  <c r="AB355" i="5" s="1"/>
  <c r="Y10" i="5"/>
  <c r="AB10" i="5" s="1"/>
  <c r="B21" i="58"/>
  <c r="Y365" i="5"/>
  <c r="AB365" i="5" s="1"/>
  <c r="B75" i="58"/>
  <c r="H8" i="17"/>
  <c r="B59" i="58"/>
  <c r="E31" i="39"/>
  <c r="B28" i="58"/>
  <c r="H39" i="34"/>
  <c r="B43" i="58"/>
  <c r="Y354" i="5"/>
  <c r="AB354" i="5" s="1"/>
  <c r="B73" i="58"/>
  <c r="Y243" i="5"/>
  <c r="AB243" i="5" s="1"/>
  <c r="B54" i="58"/>
  <c r="Y267" i="5"/>
  <c r="AB267" i="5" s="1"/>
  <c r="Y275" i="5"/>
  <c r="AB275" i="5" s="1"/>
  <c r="Y269" i="5"/>
  <c r="AB269" i="5" s="1"/>
  <c r="E42" i="34"/>
  <c r="H13" i="34"/>
  <c r="Y193" i="5"/>
  <c r="AB193" i="5" s="1"/>
  <c r="Y15" i="5"/>
  <c r="AB15" i="5" s="1"/>
  <c r="Y12" i="5"/>
  <c r="AB12" i="5" s="1"/>
  <c r="Y199" i="5"/>
  <c r="AB199" i="5" s="1"/>
  <c r="Y9" i="5"/>
  <c r="AB9" i="5" s="1"/>
  <c r="H31" i="39"/>
  <c r="H8" i="10"/>
  <c r="Y196" i="5"/>
  <c r="AB196" i="5" s="1"/>
  <c r="Y191" i="5"/>
  <c r="AB191" i="5" s="1"/>
  <c r="Y8" i="5"/>
  <c r="AB8" i="5" s="1"/>
  <c r="Y194" i="5"/>
  <c r="AB194" i="5" s="1"/>
  <c r="Y244" i="5"/>
  <c r="AB244" i="5" s="1"/>
  <c r="Y16" i="5"/>
  <c r="AB16" i="5" s="1"/>
  <c r="Y197" i="5"/>
  <c r="AB197" i="5" s="1"/>
  <c r="Y200" i="5"/>
  <c r="AB200" i="5" s="1"/>
  <c r="H24" i="39"/>
  <c r="H9" i="18"/>
  <c r="E36" i="34"/>
  <c r="Y190" i="5"/>
  <c r="AB190" i="5" s="1"/>
  <c r="H51" i="39"/>
  <c r="E24" i="39"/>
  <c r="Y195" i="5"/>
  <c r="AB195" i="5" s="1"/>
  <c r="Y198" i="5"/>
  <c r="AB198" i="5" s="1"/>
  <c r="Y159" i="5"/>
  <c r="AB159" i="5" s="1"/>
  <c r="Y366" i="5"/>
  <c r="AB366" i="5" s="1"/>
  <c r="Y164" i="5"/>
  <c r="AB164" i="5" s="1"/>
  <c r="H11" i="20"/>
  <c r="Y168" i="5"/>
  <c r="AB168" i="5" s="1"/>
  <c r="Y368" i="5"/>
  <c r="AB368" i="5" s="1"/>
  <c r="Y69" i="5"/>
  <c r="AB69" i="5" s="1"/>
  <c r="Y369" i="5"/>
  <c r="AB369" i="5" s="1"/>
  <c r="Y66" i="5"/>
  <c r="AB66" i="5" s="1"/>
  <c r="Y167" i="5"/>
  <c r="AB167" i="5" s="1"/>
  <c r="H33" i="34"/>
  <c r="Y163" i="5"/>
  <c r="AB163" i="5" s="1"/>
  <c r="Y157" i="5"/>
  <c r="AB157" i="5" s="1"/>
  <c r="Y64" i="5"/>
  <c r="AB64" i="5" s="1"/>
  <c r="H8" i="14"/>
  <c r="Y161" i="5"/>
  <c r="AB161" i="5" s="1"/>
  <c r="Y68" i="5"/>
  <c r="AB68" i="5" s="1"/>
  <c r="Y166" i="5"/>
  <c r="AB166" i="5" s="1"/>
  <c r="E46" i="39"/>
  <c r="Y65" i="5"/>
  <c r="AB65" i="5" s="1"/>
  <c r="H46" i="39"/>
  <c r="Y67" i="5"/>
  <c r="AB67" i="5" s="1"/>
  <c r="Y70" i="5"/>
  <c r="AB70" i="5" s="1"/>
  <c r="H10" i="16"/>
  <c r="B15" i="58"/>
  <c r="Y13" i="5"/>
  <c r="AB13" i="5" s="1"/>
  <c r="B18" i="58"/>
  <c r="B16" i="58"/>
  <c r="Y11" i="5"/>
  <c r="AB11" i="5" s="1"/>
  <c r="B17" i="58"/>
  <c r="H57" i="39"/>
  <c r="Y14" i="5"/>
  <c r="AB14" i="5" s="1"/>
  <c r="B14" i="58"/>
  <c r="Y249" i="5"/>
  <c r="AB249" i="5" s="1"/>
  <c r="Y248" i="5"/>
  <c r="AB248" i="5" s="1"/>
  <c r="Y245" i="5"/>
  <c r="AB245" i="5" s="1"/>
  <c r="E30" i="34"/>
  <c r="E57" i="39"/>
  <c r="H9" i="1"/>
  <c r="Y246" i="5"/>
  <c r="AB246" i="5" s="1"/>
  <c r="G10" i="48"/>
  <c r="H10" i="48" s="1"/>
  <c r="I10" i="48" s="1"/>
  <c r="E17" i="39"/>
  <c r="H17" i="39"/>
  <c r="H61" i="39"/>
  <c r="Y262" i="5"/>
  <c r="AB262" i="5" s="1"/>
  <c r="Y264" i="5"/>
  <c r="AB264" i="5" s="1"/>
  <c r="Y261" i="5"/>
  <c r="AB261" i="5" s="1"/>
  <c r="O40" i="5"/>
  <c r="E61" i="39"/>
  <c r="Y265" i="5"/>
  <c r="AB265" i="5" s="1"/>
  <c r="Y263" i="5"/>
  <c r="AB263" i="5" s="1"/>
  <c r="E41" i="34"/>
  <c r="H7" i="17"/>
  <c r="Y23" i="5"/>
  <c r="AB23" i="5" s="1"/>
  <c r="Y22" i="5"/>
  <c r="AB22" i="5" s="1"/>
  <c r="Y21" i="5"/>
  <c r="AB21" i="5" s="1"/>
  <c r="Y17" i="5"/>
  <c r="AB17" i="5" s="1"/>
  <c r="Y18" i="5"/>
  <c r="AB18" i="5" s="1"/>
  <c r="H9" i="10"/>
  <c r="H25" i="39"/>
  <c r="Y25" i="5"/>
  <c r="AB25" i="5" s="1"/>
  <c r="Y19" i="5"/>
  <c r="AB19" i="5" s="1"/>
  <c r="E37" i="34"/>
  <c r="E25" i="39"/>
  <c r="Y24" i="5"/>
  <c r="AB24" i="5" s="1"/>
  <c r="Y20" i="5"/>
  <c r="AB20" i="5" s="1"/>
  <c r="Y232" i="5"/>
  <c r="AB232" i="5" s="1"/>
  <c r="E56" i="39"/>
  <c r="Y233" i="5"/>
  <c r="AB233" i="5" s="1"/>
  <c r="Y235" i="5"/>
  <c r="AB235" i="5" s="1"/>
  <c r="Y237" i="5"/>
  <c r="AB237" i="5" s="1"/>
  <c r="H56" i="39"/>
  <c r="O34" i="5"/>
  <c r="Y241" i="5"/>
  <c r="AB241" i="5" s="1"/>
  <c r="Y230" i="5"/>
  <c r="AB230" i="5" s="1"/>
  <c r="Y231" i="5"/>
  <c r="AB231" i="5" s="1"/>
  <c r="H8" i="1"/>
  <c r="Y234" i="5"/>
  <c r="AB234" i="5" s="1"/>
  <c r="Y242" i="5"/>
  <c r="AB242" i="5" s="1"/>
  <c r="Y236" i="5"/>
  <c r="AB236" i="5" s="1"/>
  <c r="Y238" i="5"/>
  <c r="AB238" i="5" s="1"/>
  <c r="E29" i="34"/>
  <c r="Y240" i="5"/>
  <c r="AB240" i="5" s="1"/>
  <c r="Y239" i="5"/>
  <c r="AB239" i="5" s="1"/>
  <c r="Y349" i="5"/>
  <c r="AB349" i="5" s="1"/>
  <c r="Y352" i="5"/>
  <c r="AB352" i="5" s="1"/>
  <c r="Y348" i="5"/>
  <c r="AB348" i="5" s="1"/>
  <c r="Y347" i="5"/>
  <c r="AB347" i="5" s="1"/>
  <c r="H24" i="34"/>
  <c r="H75" i="39"/>
  <c r="Y351" i="5"/>
  <c r="AB351" i="5" s="1"/>
  <c r="H8" i="20"/>
  <c r="E75" i="39"/>
  <c r="Y350" i="5"/>
  <c r="AB350" i="5" s="1"/>
  <c r="Y295" i="5"/>
  <c r="AB295" i="5" s="1"/>
  <c r="Y302" i="5"/>
  <c r="AB302" i="5" s="1"/>
  <c r="H8" i="19"/>
  <c r="Y301" i="5"/>
  <c r="AB301" i="5" s="1"/>
  <c r="Y304" i="5"/>
  <c r="AB304" i="5" s="1"/>
  <c r="E67" i="39"/>
  <c r="Y303" i="5"/>
  <c r="AB303" i="5" s="1"/>
  <c r="Y305" i="5"/>
  <c r="AB305" i="5" s="1"/>
  <c r="H19" i="34"/>
  <c r="Y296" i="5"/>
  <c r="AB296" i="5" s="1"/>
  <c r="Y300" i="5"/>
  <c r="AB300" i="5" s="1"/>
  <c r="Y297" i="5"/>
  <c r="AB297" i="5" s="1"/>
  <c r="Y299" i="5"/>
  <c r="AB299" i="5" s="1"/>
  <c r="Y298" i="5"/>
  <c r="AB298" i="5" s="1"/>
  <c r="H67" i="39"/>
  <c r="E50" i="39"/>
  <c r="H50" i="39"/>
  <c r="Y187" i="5"/>
  <c r="AB187" i="5" s="1"/>
  <c r="Y188" i="5"/>
  <c r="AB188" i="5" s="1"/>
  <c r="Y183" i="5"/>
  <c r="AB183" i="5" s="1"/>
  <c r="Y184" i="5"/>
  <c r="AB184" i="5" s="1"/>
  <c r="Y182" i="5"/>
  <c r="AB182" i="5" s="1"/>
  <c r="H8" i="18"/>
  <c r="H12" i="34"/>
  <c r="Y186" i="5"/>
  <c r="AB186" i="5" s="1"/>
  <c r="Y189" i="5"/>
  <c r="AB189" i="5" s="1"/>
  <c r="Y185" i="5"/>
  <c r="AB185" i="5" s="1"/>
  <c r="Y62" i="5"/>
  <c r="AB62" i="5" s="1"/>
  <c r="Y56" i="5"/>
  <c r="AB56" i="5" s="1"/>
  <c r="E30" i="39"/>
  <c r="H32" i="34"/>
  <c r="Y59" i="5"/>
  <c r="AB59" i="5" s="1"/>
  <c r="Y57" i="5"/>
  <c r="AB57" i="5" s="1"/>
  <c r="Y54" i="5"/>
  <c r="AB54" i="5" s="1"/>
  <c r="Y61" i="5"/>
  <c r="AB61" i="5" s="1"/>
  <c r="Y58" i="5"/>
  <c r="AB58" i="5" s="1"/>
  <c r="H30" i="39"/>
  <c r="H9" i="16"/>
  <c r="Y63" i="5"/>
  <c r="AB63" i="5" s="1"/>
  <c r="Y55" i="5"/>
  <c r="AB55" i="5" s="1"/>
  <c r="Y60" i="5"/>
  <c r="AB60" i="5" s="1"/>
  <c r="E31" i="34"/>
  <c r="Y254" i="5"/>
  <c r="AB254" i="5" s="1"/>
  <c r="Y251" i="5"/>
  <c r="AB251" i="5" s="1"/>
  <c r="H10" i="1"/>
  <c r="Y253" i="5"/>
  <c r="AB253" i="5" s="1"/>
  <c r="Y250" i="5"/>
  <c r="AB250" i="5" s="1"/>
  <c r="E58" i="39"/>
  <c r="H58" i="39"/>
  <c r="Y252" i="5"/>
  <c r="AB252" i="5" s="1"/>
  <c r="Y154" i="5"/>
  <c r="AB154" i="5" s="1"/>
  <c r="Y151" i="5"/>
  <c r="AB151" i="5" s="1"/>
  <c r="H7" i="14"/>
  <c r="Y153" i="5"/>
  <c r="AB153" i="5" s="1"/>
  <c r="H45" i="39"/>
  <c r="E45" i="39"/>
  <c r="Y156" i="5"/>
  <c r="AB156" i="5" s="1"/>
  <c r="Y152" i="5"/>
  <c r="AB152" i="5" s="1"/>
  <c r="H38" i="34"/>
  <c r="O24" i="5"/>
  <c r="Y149" i="5"/>
  <c r="AB149" i="5" s="1"/>
  <c r="Y155" i="5"/>
  <c r="AB155" i="5" s="1"/>
  <c r="Y150" i="5"/>
  <c r="AB150" i="5" s="1"/>
  <c r="O7" i="5"/>
  <c r="G12" i="48"/>
  <c r="H12" i="48" s="1"/>
  <c r="I12" i="48" s="1"/>
  <c r="E18" i="39"/>
  <c r="H18" i="39"/>
  <c r="Y102" i="5"/>
  <c r="AB102" i="5" s="1"/>
  <c r="Y103" i="5"/>
  <c r="AB103" i="5" s="1"/>
  <c r="Y96" i="5"/>
  <c r="AB96" i="5" s="1"/>
  <c r="E36" i="39"/>
  <c r="Y95" i="5"/>
  <c r="AB95" i="5" s="1"/>
  <c r="Y97" i="5"/>
  <c r="AB97" i="5" s="1"/>
  <c r="Y101" i="5"/>
  <c r="AB101" i="5" s="1"/>
  <c r="Y98" i="5"/>
  <c r="AB98" i="5" s="1"/>
  <c r="Y99" i="5"/>
  <c r="AB99" i="5" s="1"/>
  <c r="E17" i="34"/>
  <c r="Y100" i="5"/>
  <c r="AB100" i="5" s="1"/>
  <c r="H8" i="8"/>
  <c r="H36" i="39"/>
  <c r="O14" i="5"/>
  <c r="Y127" i="5"/>
  <c r="AB127" i="5" s="1"/>
  <c r="Y125" i="5"/>
  <c r="AB125" i="5" s="1"/>
  <c r="Y128" i="5"/>
  <c r="AB128" i="5" s="1"/>
  <c r="Y122" i="5"/>
  <c r="AB122" i="5" s="1"/>
  <c r="Y123" i="5"/>
  <c r="AB123" i="5" s="1"/>
  <c r="E11" i="34"/>
  <c r="E41" i="39"/>
  <c r="O20" i="5"/>
  <c r="Y129" i="5"/>
  <c r="AB129" i="5" s="1"/>
  <c r="H41" i="39"/>
  <c r="Y126" i="5"/>
  <c r="AB126" i="5" s="1"/>
  <c r="H7" i="12"/>
  <c r="Y124" i="5"/>
  <c r="AB124" i="5" s="1"/>
  <c r="O45" i="5"/>
  <c r="Y292" i="5"/>
  <c r="AB292" i="5" s="1"/>
  <c r="H66" i="39"/>
  <c r="Y290" i="5"/>
  <c r="AB290" i="5" s="1"/>
  <c r="E66" i="39"/>
  <c r="Y291" i="5"/>
  <c r="AB291" i="5" s="1"/>
  <c r="Y294" i="5"/>
  <c r="AB294" i="5" s="1"/>
  <c r="Y293" i="5"/>
  <c r="AB293" i="5" s="1"/>
  <c r="H7" i="19"/>
  <c r="H18" i="34"/>
  <c r="Y222" i="5"/>
  <c r="AB222" i="5" s="1"/>
  <c r="H15" i="34"/>
  <c r="H11" i="18"/>
  <c r="Y223" i="5"/>
  <c r="AB223" i="5" s="1"/>
  <c r="E53" i="39"/>
  <c r="Y221" i="5"/>
  <c r="AB221" i="5" s="1"/>
  <c r="Y218" i="5"/>
  <c r="AB218" i="5" s="1"/>
  <c r="H53" i="39"/>
  <c r="Y219" i="5"/>
  <c r="AB219" i="5" s="1"/>
  <c r="Y220" i="5"/>
  <c r="AB220" i="5" s="1"/>
  <c r="Y83" i="5"/>
  <c r="AB83" i="5" s="1"/>
  <c r="H35" i="34"/>
  <c r="H12" i="16"/>
  <c r="Y80" i="5"/>
  <c r="AB80" i="5" s="1"/>
  <c r="E33" i="39"/>
  <c r="Y81" i="5"/>
  <c r="AB81" i="5" s="1"/>
  <c r="Y85" i="5"/>
  <c r="AB85" i="5" s="1"/>
  <c r="Y84" i="5"/>
  <c r="AB84" i="5" s="1"/>
  <c r="H33" i="39"/>
  <c r="Y82" i="5"/>
  <c r="AB82" i="5" s="1"/>
  <c r="E18" i="34"/>
  <c r="Y107" i="5"/>
  <c r="AB107" i="5" s="1"/>
  <c r="Y106" i="5"/>
  <c r="AB106" i="5" s="1"/>
  <c r="H9" i="8"/>
  <c r="Y109" i="5"/>
  <c r="AB109" i="5" s="1"/>
  <c r="E37" i="39"/>
  <c r="Y105" i="5"/>
  <c r="AB105" i="5" s="1"/>
  <c r="Y104" i="5"/>
  <c r="AB104" i="5" s="1"/>
  <c r="Y108" i="5"/>
  <c r="AB108" i="5" s="1"/>
  <c r="H37" i="39"/>
  <c r="H42" i="39"/>
  <c r="Y132" i="5"/>
  <c r="AB132" i="5" s="1"/>
  <c r="Y138" i="5"/>
  <c r="AB138" i="5" s="1"/>
  <c r="Y139" i="5"/>
  <c r="AB139" i="5" s="1"/>
  <c r="Y140" i="5"/>
  <c r="AB140" i="5" s="1"/>
  <c r="Y136" i="5"/>
  <c r="AB136" i="5" s="1"/>
  <c r="Y133" i="5"/>
  <c r="AB133" i="5" s="1"/>
  <c r="Y134" i="5"/>
  <c r="AB134" i="5" s="1"/>
  <c r="Y137" i="5"/>
  <c r="AB137" i="5" s="1"/>
  <c r="Y131" i="5"/>
  <c r="AB131" i="5" s="1"/>
  <c r="E42" i="39"/>
  <c r="E12" i="34"/>
  <c r="Y130" i="5"/>
  <c r="AB130" i="5" s="1"/>
  <c r="H8" i="12"/>
  <c r="Y135" i="5"/>
  <c r="AB135" i="5" s="1"/>
  <c r="E35" i="34"/>
  <c r="H7" i="10"/>
  <c r="O2" i="5"/>
  <c r="Y6" i="5"/>
  <c r="AB6" i="5" s="1"/>
  <c r="Y2" i="5"/>
  <c r="AB2" i="5" s="1"/>
  <c r="H23" i="39"/>
  <c r="Y4" i="5"/>
  <c r="AB4" i="5" s="1"/>
  <c r="Y7" i="5"/>
  <c r="AB7" i="5" s="1"/>
  <c r="Y3" i="5"/>
  <c r="AB3" i="5" s="1"/>
  <c r="Y5" i="5"/>
  <c r="AB5" i="5" s="1"/>
  <c r="E23" i="39"/>
  <c r="Y287" i="5"/>
  <c r="AB287" i="5" s="1"/>
  <c r="Y286" i="5"/>
  <c r="AB286" i="5" s="1"/>
  <c r="H10" i="17"/>
  <c r="E64" i="39"/>
  <c r="Y289" i="5"/>
  <c r="AB289" i="5" s="1"/>
  <c r="Y288" i="5"/>
  <c r="AB288" i="5" s="1"/>
  <c r="E44" i="34"/>
  <c r="Y285" i="5"/>
  <c r="AB285" i="5" s="1"/>
  <c r="H64" i="39"/>
  <c r="Y284" i="5"/>
  <c r="AB284" i="5" s="1"/>
  <c r="H74" i="39"/>
  <c r="Y342" i="5"/>
  <c r="AB342" i="5" s="1"/>
  <c r="Y344" i="5"/>
  <c r="AB344" i="5" s="1"/>
  <c r="H7" i="20"/>
  <c r="Y343" i="5"/>
  <c r="AB343" i="5" s="1"/>
  <c r="O53" i="5"/>
  <c r="E74" i="39"/>
  <c r="Y341" i="5"/>
  <c r="AB341" i="5" s="1"/>
  <c r="H23" i="34"/>
  <c r="Y346" i="5"/>
  <c r="AB346" i="5" s="1"/>
  <c r="Y345" i="5"/>
  <c r="AB345" i="5" s="1"/>
  <c r="S80" i="49"/>
  <c r="Q80" i="49" s="1"/>
  <c r="N73" i="50" s="1"/>
  <c r="V27" i="49"/>
  <c r="T27" i="49" s="1"/>
  <c r="P20" i="50" s="1"/>
  <c r="S103" i="49"/>
  <c r="Q103" i="49" s="1"/>
  <c r="N96" i="50" s="1"/>
  <c r="P39" i="49"/>
  <c r="P52" i="49"/>
  <c r="V107" i="49"/>
  <c r="T107" i="49" s="1"/>
  <c r="P100" i="50" s="1"/>
  <c r="V79" i="49"/>
  <c r="T79" i="49" s="1"/>
  <c r="P72" i="50" s="1"/>
  <c r="S37" i="49"/>
  <c r="Q37" i="49" s="1"/>
  <c r="N30" i="50" s="1"/>
  <c r="V64" i="49"/>
  <c r="T64" i="49" s="1"/>
  <c r="P57" i="50" s="1"/>
  <c r="P101" i="49"/>
  <c r="V99" i="49"/>
  <c r="T99" i="49" s="1"/>
  <c r="P92" i="50" s="1"/>
  <c r="V24" i="49"/>
  <c r="T24" i="49" s="1"/>
  <c r="P17" i="50" s="1"/>
  <c r="S38" i="49"/>
  <c r="P75" i="49"/>
  <c r="S119" i="49"/>
  <c r="Q119" i="49" s="1"/>
  <c r="N112" i="50" s="1"/>
  <c r="V75" i="49"/>
  <c r="T75" i="49" s="1"/>
  <c r="P68" i="50" s="1"/>
  <c r="P56" i="49"/>
  <c r="S93" i="49"/>
  <c r="Q93" i="49" s="1"/>
  <c r="N86" i="50" s="1"/>
  <c r="S48" i="49"/>
  <c r="Q48" i="49" s="1"/>
  <c r="N41" i="50" s="1"/>
  <c r="P69" i="49"/>
  <c r="V78" i="49"/>
  <c r="T78" i="49" s="1"/>
  <c r="P71" i="50" s="1"/>
  <c r="V119" i="49"/>
  <c r="T119" i="49" s="1"/>
  <c r="P112" i="50" s="1"/>
  <c r="S54" i="49"/>
  <c r="Q54" i="49" s="1"/>
  <c r="N47" i="50" s="1"/>
  <c r="S97" i="49"/>
  <c r="Q97" i="49" s="1"/>
  <c r="N90" i="50" s="1"/>
  <c r="S57" i="49"/>
  <c r="Q57" i="49" s="1"/>
  <c r="N50" i="50" s="1"/>
  <c r="V32" i="49"/>
  <c r="T32" i="49" s="1"/>
  <c r="P25" i="50" s="1"/>
  <c r="P106" i="49"/>
  <c r="S59" i="49"/>
  <c r="Q59" i="49" s="1"/>
  <c r="N52" i="50" s="1"/>
  <c r="V37" i="49"/>
  <c r="T37" i="49" s="1"/>
  <c r="P30" i="50" s="1"/>
  <c r="V121" i="49"/>
  <c r="S41" i="49"/>
  <c r="Q41" i="49" s="1"/>
  <c r="N34" i="50" s="1"/>
  <c r="P116" i="49"/>
  <c r="P103" i="49"/>
  <c r="P111" i="49"/>
  <c r="V111" i="49"/>
  <c r="T111" i="49" s="1"/>
  <c r="P104" i="50" s="1"/>
  <c r="P105" i="49"/>
  <c r="S36" i="49"/>
  <c r="Q36" i="49" s="1"/>
  <c r="N29" i="50" s="1"/>
  <c r="P96" i="49"/>
  <c r="P68" i="49"/>
  <c r="V42" i="49"/>
  <c r="T42" i="49" s="1"/>
  <c r="P35" i="50" s="1"/>
  <c r="S24" i="49"/>
  <c r="Q24" i="49" s="1"/>
  <c r="N17" i="50" s="1"/>
  <c r="P113" i="49"/>
  <c r="V104" i="49"/>
  <c r="V76" i="49"/>
  <c r="T76" i="49" s="1"/>
  <c r="P69" i="50" s="1"/>
  <c r="V62" i="49"/>
  <c r="T62" i="49" s="1"/>
  <c r="P55" i="50" s="1"/>
  <c r="S60" i="49"/>
  <c r="Q60" i="49" s="1"/>
  <c r="N53" i="50" s="1"/>
  <c r="P65" i="49"/>
  <c r="S83" i="49"/>
  <c r="Q83" i="49" s="1"/>
  <c r="N76" i="50" s="1"/>
  <c r="P110" i="49"/>
  <c r="S29" i="49"/>
  <c r="Q29" i="49" s="1"/>
  <c r="N22" i="50" s="1"/>
  <c r="V90" i="49"/>
  <c r="T90" i="49" s="1"/>
  <c r="P83" i="50" s="1"/>
  <c r="V102" i="49"/>
  <c r="T102" i="49" s="1"/>
  <c r="P95" i="50" s="1"/>
  <c r="S50" i="49"/>
  <c r="Q50" i="49" s="1"/>
  <c r="N43" i="50" s="1"/>
  <c r="P18" i="49"/>
  <c r="V122" i="49"/>
  <c r="S95" i="49"/>
  <c r="Q95" i="49" s="1"/>
  <c r="N88" i="50" s="1"/>
  <c r="S44" i="49"/>
  <c r="Q44" i="49" s="1"/>
  <c r="N37" i="50" s="1"/>
  <c r="V86" i="49"/>
  <c r="T86" i="49" s="1"/>
  <c r="P79" i="50" s="1"/>
  <c r="S45" i="49"/>
  <c r="Q45" i="49" s="1"/>
  <c r="N38" i="50" s="1"/>
  <c r="V29" i="49"/>
  <c r="T29" i="49" s="1"/>
  <c r="P22" i="50" s="1"/>
  <c r="V81" i="49"/>
  <c r="T81" i="49" s="1"/>
  <c r="P74" i="50" s="1"/>
  <c r="S46" i="49"/>
  <c r="Q46" i="49" s="1"/>
  <c r="N39" i="50" s="1"/>
  <c r="P104" i="49"/>
  <c r="P71" i="49"/>
  <c r="V80" i="49"/>
  <c r="P17" i="49"/>
  <c r="S71" i="49"/>
  <c r="S113" i="49"/>
  <c r="P43" i="49"/>
  <c r="V70" i="49"/>
  <c r="T70" i="49" s="1"/>
  <c r="P63" i="50" s="1"/>
  <c r="S30" i="49"/>
  <c r="Q30" i="49" s="1"/>
  <c r="N23" i="50" s="1"/>
  <c r="V59" i="49"/>
  <c r="T59" i="49" s="1"/>
  <c r="P52" i="50" s="1"/>
  <c r="S107" i="49"/>
  <c r="Q107" i="49" s="1"/>
  <c r="N100" i="50" s="1"/>
  <c r="P28" i="49"/>
  <c r="P70" i="49"/>
  <c r="P92" i="49"/>
  <c r="S35" i="49"/>
  <c r="Q35" i="49" s="1"/>
  <c r="N28" i="50" s="1"/>
  <c r="P44" i="49"/>
  <c r="P76" i="49"/>
  <c r="P62" i="49"/>
  <c r="S112" i="49"/>
  <c r="Q112" i="49" s="1"/>
  <c r="N105" i="50" s="1"/>
  <c r="S90" i="49"/>
  <c r="Q90" i="49" s="1"/>
  <c r="N83" i="50" s="1"/>
  <c r="P100" i="49"/>
  <c r="P121" i="49"/>
  <c r="V71" i="49"/>
  <c r="V22" i="49"/>
  <c r="V91" i="49"/>
  <c r="T91" i="49" s="1"/>
  <c r="P84" i="50" s="1"/>
  <c r="P16" i="49"/>
  <c r="S47" i="49"/>
  <c r="Q47" i="49" s="1"/>
  <c r="N40" i="50" s="1"/>
  <c r="S52" i="49"/>
  <c r="Q52" i="49" s="1"/>
  <c r="N45" i="50" s="1"/>
  <c r="V48" i="49"/>
  <c r="S62" i="49"/>
  <c r="Q62" i="49" s="1"/>
  <c r="N55" i="50" s="1"/>
  <c r="P119" i="49"/>
  <c r="P57" i="49"/>
  <c r="S89" i="49"/>
  <c r="Q89" i="49" s="1"/>
  <c r="N82" i="50" s="1"/>
  <c r="V50" i="49"/>
  <c r="P86" i="49"/>
  <c r="S123" i="49"/>
  <c r="Q123" i="49" s="1"/>
  <c r="N116" i="50" s="1"/>
  <c r="V109" i="49"/>
  <c r="T109" i="49" s="1"/>
  <c r="P102" i="50" s="1"/>
  <c r="V17" i="49"/>
  <c r="T17" i="49" s="1"/>
  <c r="P10" i="50" s="1"/>
  <c r="P19" i="49"/>
  <c r="P33" i="49"/>
  <c r="S66" i="49"/>
  <c r="Q66" i="49" s="1"/>
  <c r="N59" i="50" s="1"/>
  <c r="P72" i="49"/>
  <c r="V117" i="49"/>
  <c r="T117" i="49" s="1"/>
  <c r="P110" i="50" s="1"/>
  <c r="S96" i="49"/>
  <c r="Q96" i="49" s="1"/>
  <c r="N89" i="50" s="1"/>
  <c r="S101" i="49"/>
  <c r="Q101" i="49" s="1"/>
  <c r="N94" i="50" s="1"/>
  <c r="V36" i="49"/>
  <c r="T36" i="49" s="1"/>
  <c r="P29" i="50" s="1"/>
  <c r="V28" i="49"/>
  <c r="T28" i="49" s="1"/>
  <c r="P21" i="50" s="1"/>
  <c r="S55" i="49"/>
  <c r="Q55" i="49" s="1"/>
  <c r="N48" i="50" s="1"/>
  <c r="S63" i="49"/>
  <c r="Q63" i="49" s="1"/>
  <c r="N56" i="50" s="1"/>
  <c r="S31" i="49"/>
  <c r="Q31" i="49" s="1"/>
  <c r="N24" i="50" s="1"/>
  <c r="S25" i="49"/>
  <c r="Q25" i="49" s="1"/>
  <c r="N18" i="50" s="1"/>
  <c r="S16" i="49"/>
  <c r="Q16" i="49" s="1"/>
  <c r="N9" i="50" s="1"/>
  <c r="S42" i="49"/>
  <c r="Q42" i="49" s="1"/>
  <c r="N35" i="50" s="1"/>
  <c r="P88" i="49"/>
  <c r="P90" i="49"/>
  <c r="S76" i="49"/>
  <c r="Q76" i="49" s="1"/>
  <c r="N69" i="50" s="1"/>
  <c r="P63" i="49"/>
  <c r="P66" i="49"/>
  <c r="V57" i="49"/>
  <c r="T57" i="49" s="1"/>
  <c r="P50" i="50" s="1"/>
  <c r="P53" i="49"/>
  <c r="V20" i="49"/>
  <c r="T20" i="49" s="1"/>
  <c r="P13" i="50" s="1"/>
  <c r="S74" i="49"/>
  <c r="Q74" i="49" s="1"/>
  <c r="N67" i="50" s="1"/>
  <c r="V88" i="49"/>
  <c r="T88" i="49" s="1"/>
  <c r="P81" i="50" s="1"/>
  <c r="P115" i="49"/>
  <c r="V33" i="49"/>
  <c r="T33" i="49" s="1"/>
  <c r="P26" i="50" s="1"/>
  <c r="V18" i="49"/>
  <c r="T18" i="49" s="1"/>
  <c r="P11" i="50" s="1"/>
  <c r="P84" i="49"/>
  <c r="V40" i="49"/>
  <c r="T40" i="49" s="1"/>
  <c r="P33" i="50" s="1"/>
  <c r="V45" i="49"/>
  <c r="P60" i="49"/>
  <c r="P109" i="49"/>
  <c r="S86" i="49"/>
  <c r="Q86" i="49" s="1"/>
  <c r="N79" i="50" s="1"/>
  <c r="S122" i="49"/>
  <c r="Q122" i="49" s="1"/>
  <c r="N115" i="50" s="1"/>
  <c r="S69" i="49"/>
  <c r="S23" i="49"/>
  <c r="Q23" i="49" s="1"/>
  <c r="N16" i="50" s="1"/>
  <c r="S121" i="49"/>
  <c r="S111" i="49"/>
  <c r="Q111" i="49" s="1"/>
  <c r="N104" i="50" s="1"/>
  <c r="V93" i="49"/>
  <c r="T93" i="49" s="1"/>
  <c r="P86" i="50" s="1"/>
  <c r="V52" i="49"/>
  <c r="T52" i="49" s="1"/>
  <c r="P45" i="50" s="1"/>
  <c r="V85" i="49"/>
  <c r="T85" i="49" s="1"/>
  <c r="P78" i="50" s="1"/>
  <c r="S72" i="49"/>
  <c r="Q72" i="49" s="1"/>
  <c r="N65" i="50" s="1"/>
  <c r="P122" i="49"/>
  <c r="V83" i="49"/>
  <c r="T83" i="49" s="1"/>
  <c r="P76" i="50" s="1"/>
  <c r="V74" i="49"/>
  <c r="T74" i="49" s="1"/>
  <c r="P67" i="50" s="1"/>
  <c r="P67" i="49"/>
  <c r="S33" i="49"/>
  <c r="Q33" i="49" s="1"/>
  <c r="N26" i="50" s="1"/>
  <c r="V23" i="49"/>
  <c r="T23" i="49" s="1"/>
  <c r="P16" i="50" s="1"/>
  <c r="P108" i="49"/>
  <c r="V113" i="49"/>
  <c r="V63" i="49"/>
  <c r="T63" i="49" s="1"/>
  <c r="P56" i="50" s="1"/>
  <c r="S19" i="49"/>
  <c r="Q19" i="49" s="1"/>
  <c r="N12" i="50" s="1"/>
  <c r="P117" i="49"/>
  <c r="S82" i="49"/>
  <c r="Q82" i="49" s="1"/>
  <c r="N75" i="50" s="1"/>
  <c r="P25" i="49"/>
  <c r="V51" i="49"/>
  <c r="S115" i="49"/>
  <c r="Q115" i="49" s="1"/>
  <c r="N108" i="50" s="1"/>
  <c r="S109" i="49"/>
  <c r="Q109" i="49" s="1"/>
  <c r="N102" i="50" s="1"/>
  <c r="V115" i="49"/>
  <c r="T115" i="49" s="1"/>
  <c r="P108" i="50" s="1"/>
  <c r="V30" i="49"/>
  <c r="T30" i="49" s="1"/>
  <c r="P23" i="50" s="1"/>
  <c r="P38" i="49"/>
  <c r="V69" i="49"/>
  <c r="T69" i="49" s="1"/>
  <c r="P62" i="50" s="1"/>
  <c r="S61" i="49"/>
  <c r="Q61" i="49" s="1"/>
  <c r="N54" i="50" s="1"/>
  <c r="P37" i="49"/>
  <c r="P46" i="49"/>
  <c r="V89" i="49"/>
  <c r="T89" i="49" s="1"/>
  <c r="P82" i="50" s="1"/>
  <c r="V34" i="49"/>
  <c r="T34" i="49" s="1"/>
  <c r="P27" i="50" s="1"/>
  <c r="V19" i="49"/>
  <c r="V44" i="49"/>
  <c r="T44" i="49" s="1"/>
  <c r="P37" i="50" s="1"/>
  <c r="S102" i="49"/>
  <c r="Q102" i="49" s="1"/>
  <c r="N95" i="50" s="1"/>
  <c r="P123" i="49"/>
  <c r="V100" i="49"/>
  <c r="T100" i="49" s="1"/>
  <c r="P93" i="50" s="1"/>
  <c r="V21" i="49"/>
  <c r="T21" i="49" s="1"/>
  <c r="P14" i="50" s="1"/>
  <c r="P112" i="49"/>
  <c r="P31" i="49"/>
  <c r="S120" i="49"/>
  <c r="Q120" i="49" s="1"/>
  <c r="N113" i="50" s="1"/>
  <c r="P97" i="49"/>
  <c r="P32" i="49"/>
  <c r="P47" i="49"/>
  <c r="S77" i="49"/>
  <c r="Q77" i="49" s="1"/>
  <c r="N70" i="50" s="1"/>
  <c r="V38" i="49"/>
  <c r="T38" i="49" s="1"/>
  <c r="P31" i="50" s="1"/>
  <c r="V35" i="49"/>
  <c r="T35" i="49" s="1"/>
  <c r="P28" i="50" s="1"/>
  <c r="S110" i="49"/>
  <c r="V101" i="49"/>
  <c r="T101" i="49" s="1"/>
  <c r="P94" i="50" s="1"/>
  <c r="S26" i="49"/>
  <c r="Q26" i="49" s="1"/>
  <c r="N19" i="50" s="1"/>
  <c r="S79" i="49"/>
  <c r="Q79" i="49" s="1"/>
  <c r="N72" i="50" s="1"/>
  <c r="S68" i="49"/>
  <c r="Q68" i="49" s="1"/>
  <c r="N61" i="50" s="1"/>
  <c r="P59" i="49"/>
  <c r="P73" i="49"/>
  <c r="V56" i="49"/>
  <c r="T56" i="49" s="1"/>
  <c r="P49" i="50" s="1"/>
  <c r="S65" i="49"/>
  <c r="Q65" i="49" s="1"/>
  <c r="N58" i="50" s="1"/>
  <c r="S34" i="49"/>
  <c r="Q34" i="49" s="1"/>
  <c r="N27" i="50" s="1"/>
  <c r="P94" i="49"/>
  <c r="V66" i="49"/>
  <c r="S40" i="49"/>
  <c r="Q40" i="49" s="1"/>
  <c r="N33" i="50" s="1"/>
  <c r="S73" i="49"/>
  <c r="Q73" i="49" s="1"/>
  <c r="N66" i="50" s="1"/>
  <c r="P114" i="49"/>
  <c r="P22" i="49"/>
  <c r="P93" i="49"/>
  <c r="V39" i="49"/>
  <c r="P23" i="49"/>
  <c r="V41" i="49"/>
  <c r="T41" i="49" s="1"/>
  <c r="P34" i="50" s="1"/>
  <c r="P51" i="49"/>
  <c r="V55" i="49"/>
  <c r="T55" i="49" s="1"/>
  <c r="P48" i="50" s="1"/>
  <c r="V114" i="49"/>
  <c r="P107" i="49"/>
  <c r="S105" i="49"/>
  <c r="Q105" i="49" s="1"/>
  <c r="N98" i="50" s="1"/>
  <c r="V77" i="49"/>
  <c r="T77" i="49" s="1"/>
  <c r="P70" i="50" s="1"/>
  <c r="V65" i="49"/>
  <c r="T65" i="49" s="1"/>
  <c r="P58" i="50" s="1"/>
  <c r="P98" i="49"/>
  <c r="S17" i="49"/>
  <c r="Q17" i="49" s="1"/>
  <c r="N10" i="50" s="1"/>
  <c r="P24" i="49"/>
  <c r="S56" i="49"/>
  <c r="Q56" i="49" s="1"/>
  <c r="N49" i="50" s="1"/>
  <c r="P74" i="49"/>
  <c r="V94" i="49"/>
  <c r="T94" i="49" s="1"/>
  <c r="P87" i="50" s="1"/>
  <c r="S116" i="49"/>
  <c r="Q116" i="49" s="1"/>
  <c r="N109" i="50" s="1"/>
  <c r="V96" i="49"/>
  <c r="T96" i="49" s="1"/>
  <c r="P89" i="50" s="1"/>
  <c r="V87" i="49"/>
  <c r="T87" i="49" s="1"/>
  <c r="P80" i="50" s="1"/>
  <c r="V103" i="49"/>
  <c r="V84" i="49"/>
  <c r="S98" i="49"/>
  <c r="Q98" i="49" s="1"/>
  <c r="N91" i="50" s="1"/>
  <c r="V95" i="49"/>
  <c r="T95" i="49" s="1"/>
  <c r="P88" i="50" s="1"/>
  <c r="P83" i="49"/>
  <c r="P40" i="49"/>
  <c r="S67" i="49"/>
  <c r="Q67" i="49" s="1"/>
  <c r="N60" i="50" s="1"/>
  <c r="P81" i="49"/>
  <c r="P21" i="49"/>
  <c r="S39" i="49"/>
  <c r="P99" i="49"/>
  <c r="V25" i="49"/>
  <c r="T25" i="49" s="1"/>
  <c r="P18" i="50" s="1"/>
  <c r="V82" i="49"/>
  <c r="T82" i="49" s="1"/>
  <c r="P75" i="50" s="1"/>
  <c r="S27" i="49"/>
  <c r="Q27" i="49" s="1"/>
  <c r="N20" i="50" s="1"/>
  <c r="S43" i="49"/>
  <c r="Q43" i="49" s="1"/>
  <c r="N36" i="50" s="1"/>
  <c r="V54" i="49"/>
  <c r="T54" i="49" s="1"/>
  <c r="P47" i="50" s="1"/>
  <c r="S81" i="49"/>
  <c r="Q81" i="49" s="1"/>
  <c r="N74" i="50" s="1"/>
  <c r="V72" i="49"/>
  <c r="T72" i="49" s="1"/>
  <c r="P65" i="50" s="1"/>
  <c r="P26" i="49"/>
  <c r="S94" i="49"/>
  <c r="Q94" i="49" s="1"/>
  <c r="N87" i="50" s="1"/>
  <c r="V43" i="49"/>
  <c r="T43" i="49" s="1"/>
  <c r="P36" i="50" s="1"/>
  <c r="P91" i="49"/>
  <c r="S70" i="49"/>
  <c r="Q70" i="49" s="1"/>
  <c r="N63" i="50" s="1"/>
  <c r="V110" i="49"/>
  <c r="T110" i="49" s="1"/>
  <c r="P103" i="50" s="1"/>
  <c r="P120" i="49"/>
  <c r="V97" i="49"/>
  <c r="T97" i="49" s="1"/>
  <c r="P90" i="50" s="1"/>
  <c r="P20" i="49"/>
  <c r="P48" i="49"/>
  <c r="V123" i="49"/>
  <c r="T123" i="49" s="1"/>
  <c r="P116" i="50" s="1"/>
  <c r="S18" i="49"/>
  <c r="Q18" i="49" s="1"/>
  <c r="N11" i="50" s="1"/>
  <c r="S58" i="49"/>
  <c r="Q58" i="49" s="1"/>
  <c r="N51" i="50" s="1"/>
  <c r="S64" i="49"/>
  <c r="Q64" i="49" s="1"/>
  <c r="N57" i="50" s="1"/>
  <c r="V47" i="49"/>
  <c r="T47" i="49" s="1"/>
  <c r="P40" i="50" s="1"/>
  <c r="V108" i="49"/>
  <c r="T108" i="49" s="1"/>
  <c r="P101" i="50" s="1"/>
  <c r="P61" i="49"/>
  <c r="S99" i="49"/>
  <c r="Q99" i="49" s="1"/>
  <c r="N92" i="50" s="1"/>
  <c r="V120" i="49"/>
  <c r="T120" i="49" s="1"/>
  <c r="P113" i="50" s="1"/>
  <c r="V61" i="49"/>
  <c r="T61" i="49" s="1"/>
  <c r="P54" i="50" s="1"/>
  <c r="V116" i="49"/>
  <c r="T116" i="49" s="1"/>
  <c r="P109" i="50" s="1"/>
  <c r="S51" i="49"/>
  <c r="Q51" i="49" s="1"/>
  <c r="N44" i="50" s="1"/>
  <c r="S104" i="49"/>
  <c r="Q104" i="49" s="1"/>
  <c r="N97" i="50" s="1"/>
  <c r="S28" i="49"/>
  <c r="Q28" i="49" s="1"/>
  <c r="N21" i="50" s="1"/>
  <c r="P80" i="49"/>
  <c r="S32" i="49"/>
  <c r="Q32" i="49" s="1"/>
  <c r="N25" i="50" s="1"/>
  <c r="V98" i="49"/>
  <c r="T98" i="49" s="1"/>
  <c r="P91" i="50" s="1"/>
  <c r="P102" i="49"/>
  <c r="V53" i="49"/>
  <c r="T53" i="49" s="1"/>
  <c r="P46" i="50" s="1"/>
  <c r="P42" i="49"/>
  <c r="S117" i="49"/>
  <c r="Q117" i="49" s="1"/>
  <c r="N110" i="50" s="1"/>
  <c r="V26" i="49"/>
  <c r="T26" i="49" s="1"/>
  <c r="P19" i="50" s="1"/>
  <c r="P35" i="49"/>
  <c r="V106" i="49"/>
  <c r="T106" i="49" s="1"/>
  <c r="P99" i="50" s="1"/>
  <c r="S20" i="49"/>
  <c r="Q20" i="49" s="1"/>
  <c r="N13" i="50" s="1"/>
  <c r="P78" i="49"/>
  <c r="P77" i="49"/>
  <c r="P118" i="49"/>
  <c r="S21" i="49"/>
  <c r="Q21" i="49" s="1"/>
  <c r="N14" i="50" s="1"/>
  <c r="V105" i="49"/>
  <c r="T105" i="49" s="1"/>
  <c r="P98" i="50" s="1"/>
  <c r="V73" i="49"/>
  <c r="T73" i="49" s="1"/>
  <c r="P66" i="50" s="1"/>
  <c r="P87" i="49"/>
  <c r="V46" i="49"/>
  <c r="T46" i="49" s="1"/>
  <c r="P39" i="50" s="1"/>
  <c r="P89" i="49"/>
  <c r="V118" i="49"/>
  <c r="T118" i="49" s="1"/>
  <c r="P111" i="50" s="1"/>
  <c r="S88" i="49"/>
  <c r="Q88" i="49" s="1"/>
  <c r="N81" i="50" s="1"/>
  <c r="P50" i="49"/>
  <c r="V31" i="49"/>
  <c r="T31" i="49" s="1"/>
  <c r="P24" i="50" s="1"/>
  <c r="P55" i="49"/>
  <c r="S106" i="49"/>
  <c r="Q106" i="49" s="1"/>
  <c r="N99" i="50" s="1"/>
  <c r="S87" i="49"/>
  <c r="Q87" i="49" s="1"/>
  <c r="N80" i="50" s="1"/>
  <c r="S85" i="49"/>
  <c r="Q85" i="49" s="1"/>
  <c r="N78" i="50" s="1"/>
  <c r="S114" i="49"/>
  <c r="P79" i="49"/>
  <c r="P36" i="49"/>
  <c r="S91" i="49"/>
  <c r="Q91" i="49" s="1"/>
  <c r="N84" i="50" s="1"/>
  <c r="S118" i="49"/>
  <c r="Q118" i="49" s="1"/>
  <c r="N111" i="50" s="1"/>
  <c r="S22" i="49"/>
  <c r="Q22" i="49" s="1"/>
  <c r="N15" i="50" s="1"/>
  <c r="V112" i="49"/>
  <c r="T112" i="49" s="1"/>
  <c r="P105" i="50" s="1"/>
  <c r="P41" i="49"/>
  <c r="P64" i="49"/>
  <c r="V67" i="49"/>
  <c r="T67" i="49" s="1"/>
  <c r="P60" i="50" s="1"/>
  <c r="P27" i="49"/>
  <c r="S100" i="49"/>
  <c r="Q100" i="49" s="1"/>
  <c r="N93" i="50" s="1"/>
  <c r="S84" i="49"/>
  <c r="Q84" i="49" s="1"/>
  <c r="N77" i="50" s="1"/>
  <c r="P95" i="49"/>
  <c r="S75" i="49"/>
  <c r="Q75" i="49" s="1"/>
  <c r="N68" i="50" s="1"/>
  <c r="P82" i="49"/>
  <c r="S49" i="49"/>
  <c r="Q49" i="49" s="1"/>
  <c r="N42" i="50" s="1"/>
  <c r="V16" i="49"/>
  <c r="T16" i="49" s="1"/>
  <c r="P9" i="50" s="1"/>
  <c r="P29" i="49"/>
  <c r="S53" i="49"/>
  <c r="Q53" i="49" s="1"/>
  <c r="N46" i="50" s="1"/>
  <c r="P30" i="49"/>
  <c r="S108" i="49"/>
  <c r="Q108" i="49" s="1"/>
  <c r="N101" i="50" s="1"/>
  <c r="P85" i="49"/>
  <c r="P54" i="49"/>
  <c r="P45" i="49"/>
  <c r="V58" i="49"/>
  <c r="P58" i="49"/>
  <c r="V49" i="49"/>
  <c r="T49" i="49" s="1"/>
  <c r="P42" i="50" s="1"/>
  <c r="P49" i="49"/>
  <c r="V92" i="49"/>
  <c r="T92" i="49" s="1"/>
  <c r="P85" i="50" s="1"/>
  <c r="P34" i="49"/>
  <c r="S78" i="49"/>
  <c r="Q78" i="49" s="1"/>
  <c r="N71" i="50" s="1"/>
  <c r="S92" i="49"/>
  <c r="Q92" i="49" s="1"/>
  <c r="N85" i="50" s="1"/>
  <c r="V60" i="49"/>
  <c r="T60" i="49" s="1"/>
  <c r="P53" i="50" s="1"/>
  <c r="V68" i="49"/>
  <c r="H9" i="17"/>
  <c r="Y276" i="5"/>
  <c r="AB276" i="5" s="1"/>
  <c r="Y280" i="5"/>
  <c r="AB280" i="5" s="1"/>
  <c r="H63" i="39"/>
  <c r="E43" i="34"/>
  <c r="Y283" i="5"/>
  <c r="AB283" i="5" s="1"/>
  <c r="E63" i="39"/>
  <c r="Y279" i="5"/>
  <c r="AB279" i="5" s="1"/>
  <c r="Y278" i="5"/>
  <c r="AB278" i="5" s="1"/>
  <c r="Y282" i="5"/>
  <c r="AB282" i="5" s="1"/>
  <c r="Y277" i="5"/>
  <c r="AB277" i="5" s="1"/>
  <c r="Y281" i="5"/>
  <c r="AB281" i="5" s="1"/>
  <c r="H9" i="12"/>
  <c r="Y144" i="5"/>
  <c r="AB144" i="5" s="1"/>
  <c r="E13" i="34"/>
  <c r="Y147" i="5"/>
  <c r="AB147" i="5" s="1"/>
  <c r="H43" i="39"/>
  <c r="Y146" i="5"/>
  <c r="AB146" i="5" s="1"/>
  <c r="E43" i="39"/>
  <c r="Y142" i="5"/>
  <c r="AB142" i="5" s="1"/>
  <c r="Y145" i="5"/>
  <c r="AB145" i="5" s="1"/>
  <c r="Y141" i="5"/>
  <c r="AB141" i="5" s="1"/>
  <c r="Y143" i="5"/>
  <c r="AB143" i="5" s="1"/>
  <c r="Y148" i="5"/>
  <c r="AB148" i="5" s="1"/>
  <c r="H20" i="39"/>
  <c r="E20" i="39"/>
  <c r="G16" i="48"/>
  <c r="H16" i="48" s="1"/>
  <c r="I16" i="48" s="1"/>
  <c r="E52" i="39"/>
  <c r="Y211" i="5"/>
  <c r="AB211" i="5" s="1"/>
  <c r="Y203" i="5"/>
  <c r="AB203" i="5" s="1"/>
  <c r="Y206" i="5"/>
  <c r="AB206" i="5" s="1"/>
  <c r="H14" i="34"/>
  <c r="Y205" i="5"/>
  <c r="AB205" i="5" s="1"/>
  <c r="Y207" i="5"/>
  <c r="AB207" i="5" s="1"/>
  <c r="H10" i="18"/>
  <c r="Y214" i="5"/>
  <c r="AB214" i="5" s="1"/>
  <c r="Y217" i="5"/>
  <c r="AB217" i="5" s="1"/>
  <c r="Y210" i="5"/>
  <c r="AB210" i="5" s="1"/>
  <c r="Y208" i="5"/>
  <c r="AB208" i="5" s="1"/>
  <c r="Y213" i="5"/>
  <c r="AB213" i="5" s="1"/>
  <c r="Y202" i="5"/>
  <c r="AB202" i="5" s="1"/>
  <c r="Y215" i="5"/>
  <c r="AB215" i="5" s="1"/>
  <c r="Y204" i="5"/>
  <c r="AB204" i="5" s="1"/>
  <c r="Y212" i="5"/>
  <c r="AB212" i="5" s="1"/>
  <c r="H52" i="39"/>
  <c r="Y216" i="5"/>
  <c r="AB216" i="5" s="1"/>
  <c r="Y209" i="5"/>
  <c r="AB209" i="5" s="1"/>
  <c r="Y201" i="5"/>
  <c r="AB201" i="5" s="1"/>
  <c r="Y318" i="5"/>
  <c r="AB318" i="5" s="1"/>
  <c r="Y322" i="5"/>
  <c r="AB322" i="5" s="1"/>
  <c r="H7" i="21"/>
  <c r="E23" i="34"/>
  <c r="H70" i="39"/>
  <c r="Y323" i="5"/>
  <c r="AB323" i="5" s="1"/>
  <c r="Y320" i="5"/>
  <c r="AB320" i="5" s="1"/>
  <c r="Y312" i="5"/>
  <c r="AB312" i="5" s="1"/>
  <c r="Y321" i="5"/>
  <c r="AB321" i="5" s="1"/>
  <c r="E70" i="39"/>
  <c r="Y313" i="5"/>
  <c r="AB313" i="5" s="1"/>
  <c r="Y315" i="5"/>
  <c r="AB315" i="5" s="1"/>
  <c r="Y316" i="5"/>
  <c r="AB316" i="5" s="1"/>
  <c r="O49" i="5"/>
  <c r="Y319" i="5"/>
  <c r="AB319" i="5" s="1"/>
  <c r="Y314" i="5"/>
  <c r="AB314" i="5" s="1"/>
  <c r="Y317" i="5"/>
  <c r="AB317" i="5" s="1"/>
  <c r="Y178" i="5"/>
  <c r="AB178" i="5" s="1"/>
  <c r="O28" i="5"/>
  <c r="H7" i="18"/>
  <c r="Y180" i="5"/>
  <c r="AB180" i="5" s="1"/>
  <c r="Y176" i="5"/>
  <c r="AB176" i="5" s="1"/>
  <c r="H49" i="39"/>
  <c r="E49" i="39"/>
  <c r="Y175" i="5"/>
  <c r="AB175" i="5" s="1"/>
  <c r="H11" i="34"/>
  <c r="Y177" i="5"/>
  <c r="AB177" i="5" s="1"/>
  <c r="Y179" i="5"/>
  <c r="AB179" i="5" s="1"/>
  <c r="E25" i="34"/>
  <c r="Y337" i="5"/>
  <c r="AB337" i="5" s="1"/>
  <c r="Y339" i="5"/>
  <c r="AB339" i="5" s="1"/>
  <c r="H72" i="39"/>
  <c r="E72" i="39"/>
  <c r="H9" i="21"/>
  <c r="Y340" i="5"/>
  <c r="AB340" i="5" s="1"/>
  <c r="Y336" i="5"/>
  <c r="AB336" i="5" s="1"/>
  <c r="Y338" i="5"/>
  <c r="AB338" i="5" s="1"/>
  <c r="Y335" i="5"/>
  <c r="AB335" i="5" s="1"/>
  <c r="Y29" i="5"/>
  <c r="AB29" i="5" s="1"/>
  <c r="Y27" i="5"/>
  <c r="AB27" i="5" s="1"/>
  <c r="Y31" i="5"/>
  <c r="AB31" i="5" s="1"/>
  <c r="Y30" i="5"/>
  <c r="AB30" i="5" s="1"/>
  <c r="E26" i="39"/>
  <c r="Y28" i="5"/>
  <c r="AB28" i="5" s="1"/>
  <c r="Y26" i="5"/>
  <c r="AB26" i="5" s="1"/>
  <c r="H26" i="39"/>
  <c r="H10" i="10"/>
  <c r="E38" i="34"/>
  <c r="H19" i="39"/>
  <c r="G14" i="48"/>
  <c r="H14" i="48" s="1"/>
  <c r="I14" i="48" s="1"/>
  <c r="E19" i="39"/>
  <c r="H10" i="20"/>
  <c r="Y362" i="5"/>
  <c r="AB362" i="5" s="1"/>
  <c r="Y361" i="5"/>
  <c r="AB361" i="5" s="1"/>
  <c r="Y363" i="5"/>
  <c r="AB363" i="5" s="1"/>
  <c r="E77" i="39"/>
  <c r="Y364" i="5"/>
  <c r="AB364" i="5" s="1"/>
  <c r="H77" i="39"/>
  <c r="Y360" i="5"/>
  <c r="AB360" i="5" s="1"/>
  <c r="H26" i="34"/>
  <c r="E21" i="39"/>
  <c r="G18" i="48"/>
  <c r="H18" i="48" s="1"/>
  <c r="I18" i="48" s="1"/>
  <c r="H21" i="39"/>
  <c r="B70" i="58" l="1"/>
  <c r="B19" i="58"/>
  <c r="B24" i="58"/>
  <c r="B62" i="58"/>
  <c r="B66" i="58"/>
  <c r="B45" i="58"/>
  <c r="B41" i="58"/>
  <c r="B51" i="58"/>
  <c r="B57" i="58"/>
  <c r="B37" i="58"/>
  <c r="B31" i="58"/>
  <c r="M50" i="49"/>
  <c r="K50" i="49" s="1"/>
  <c r="J43" i="50" s="1"/>
  <c r="M29" i="49"/>
  <c r="K29" i="49" s="1"/>
  <c r="J22" i="50" s="1"/>
  <c r="M34" i="49"/>
  <c r="K34" i="49" s="1"/>
  <c r="J27" i="50" s="1"/>
  <c r="M119" i="49"/>
  <c r="K119" i="49" s="1"/>
  <c r="J112" i="50" s="1"/>
  <c r="W13" i="5"/>
  <c r="W26" i="5"/>
  <c r="M24" i="49"/>
  <c r="K24" i="49" s="1"/>
  <c r="J17" i="50" s="1"/>
  <c r="W11" i="5"/>
  <c r="M74" i="49"/>
  <c r="K74" i="49" s="1"/>
  <c r="J67" i="50" s="1"/>
  <c r="W27" i="5"/>
  <c r="W6" i="5"/>
  <c r="W270" i="5"/>
  <c r="W362" i="5"/>
  <c r="M122" i="49"/>
  <c r="K122" i="49" s="1"/>
  <c r="J115" i="50" s="1"/>
  <c r="W359" i="5"/>
  <c r="M98" i="49"/>
  <c r="K98" i="49" s="1"/>
  <c r="J91" i="50" s="1"/>
  <c r="W30" i="5"/>
  <c r="W199" i="5"/>
  <c r="N91" i="49"/>
  <c r="M91" i="49"/>
  <c r="K91" i="49" s="1"/>
  <c r="N40" i="49"/>
  <c r="M40" i="49"/>
  <c r="K40" i="49" s="1"/>
  <c r="N84" i="49"/>
  <c r="M84" i="49"/>
  <c r="K84" i="49" s="1"/>
  <c r="M86" i="49"/>
  <c r="K86" i="49" s="1"/>
  <c r="N86" i="49"/>
  <c r="M110" i="49"/>
  <c r="K110" i="49" s="1"/>
  <c r="J103" i="50" s="1"/>
  <c r="M103" i="49"/>
  <c r="K103" i="49" s="1"/>
  <c r="N103" i="49"/>
  <c r="M56" i="49"/>
  <c r="K56" i="49" s="1"/>
  <c r="N56" i="49"/>
  <c r="W174" i="5"/>
  <c r="W168" i="5"/>
  <c r="W370" i="5"/>
  <c r="H4" i="10"/>
  <c r="H22" i="39"/>
  <c r="E22" i="39"/>
  <c r="S7" i="5"/>
  <c r="E34" i="34"/>
  <c r="W138" i="5"/>
  <c r="W104" i="5"/>
  <c r="W92" i="5"/>
  <c r="W121" i="5"/>
  <c r="W80" i="5"/>
  <c r="W218" i="5"/>
  <c r="W257" i="5"/>
  <c r="H40" i="39"/>
  <c r="S3" i="5"/>
  <c r="E10" i="34"/>
  <c r="E40" i="39"/>
  <c r="H4" i="12"/>
  <c r="W44" i="5"/>
  <c r="W98" i="5"/>
  <c r="W33" i="5"/>
  <c r="W200" i="5"/>
  <c r="W149" i="5"/>
  <c r="W42" i="5"/>
  <c r="W251" i="5"/>
  <c r="W191" i="5"/>
  <c r="W111" i="5"/>
  <c r="W300" i="5"/>
  <c r="W239" i="5"/>
  <c r="W231" i="5"/>
  <c r="W354" i="5"/>
  <c r="W21" i="5"/>
  <c r="W15" i="5"/>
  <c r="W368" i="5"/>
  <c r="W264" i="5"/>
  <c r="W360" i="5"/>
  <c r="W39" i="5"/>
  <c r="W322" i="5"/>
  <c r="W210" i="5"/>
  <c r="W195" i="5"/>
  <c r="W280" i="5"/>
  <c r="N41" i="49"/>
  <c r="M41" i="49"/>
  <c r="K41" i="49" s="1"/>
  <c r="M78" i="49"/>
  <c r="K78" i="49" s="1"/>
  <c r="N78" i="49"/>
  <c r="W29" i="5"/>
  <c r="W333" i="5"/>
  <c r="W118" i="5"/>
  <c r="W321" i="5"/>
  <c r="W217" i="5"/>
  <c r="W148" i="5"/>
  <c r="W282" i="5"/>
  <c r="W276" i="5"/>
  <c r="N85" i="49"/>
  <c r="M85" i="49"/>
  <c r="K85" i="49" s="1"/>
  <c r="N83" i="49"/>
  <c r="M83" i="49"/>
  <c r="K83" i="49" s="1"/>
  <c r="N93" i="49"/>
  <c r="M93" i="49"/>
  <c r="K93" i="49" s="1"/>
  <c r="N31" i="49"/>
  <c r="M31" i="49"/>
  <c r="K31" i="49" s="1"/>
  <c r="M66" i="49"/>
  <c r="K66" i="49" s="1"/>
  <c r="J59" i="50" s="1"/>
  <c r="M72" i="49"/>
  <c r="K72" i="49" s="1"/>
  <c r="N72" i="49"/>
  <c r="M16" i="49"/>
  <c r="K16" i="49" s="1"/>
  <c r="N16" i="49"/>
  <c r="M62" i="49"/>
  <c r="K62" i="49" s="1"/>
  <c r="J55" i="50" s="1"/>
  <c r="M71" i="49"/>
  <c r="M116" i="49"/>
  <c r="K116" i="49" s="1"/>
  <c r="J109" i="50" s="1"/>
  <c r="W269" i="5"/>
  <c r="W172" i="5"/>
  <c r="H73" i="39"/>
  <c r="H22" i="34"/>
  <c r="E73" i="39"/>
  <c r="H4" i="20"/>
  <c r="S11" i="5"/>
  <c r="W158" i="5"/>
  <c r="W173" i="5"/>
  <c r="W5" i="5"/>
  <c r="W131" i="5"/>
  <c r="W132" i="5"/>
  <c r="W105" i="5"/>
  <c r="W167" i="5"/>
  <c r="W308" i="5"/>
  <c r="W221" i="5"/>
  <c r="W292" i="5"/>
  <c r="W171" i="5"/>
  <c r="W101" i="5"/>
  <c r="W14" i="5"/>
  <c r="W190" i="5"/>
  <c r="H44" i="39"/>
  <c r="S13" i="5"/>
  <c r="H37" i="34"/>
  <c r="H4" i="14"/>
  <c r="E44" i="39"/>
  <c r="W151" i="5"/>
  <c r="W45" i="5"/>
  <c r="W254" i="5"/>
  <c r="W56" i="5"/>
  <c r="W37" i="5"/>
  <c r="W306" i="5"/>
  <c r="W164" i="5"/>
  <c r="W296" i="5"/>
  <c r="W302" i="5"/>
  <c r="W351" i="5"/>
  <c r="W240" i="5"/>
  <c r="W230" i="5"/>
  <c r="W232" i="5"/>
  <c r="W274" i="5"/>
  <c r="W22" i="5"/>
  <c r="W12" i="5"/>
  <c r="W262" i="5"/>
  <c r="M54" i="49"/>
  <c r="K54" i="49" s="1"/>
  <c r="N54" i="49"/>
  <c r="M89" i="49"/>
  <c r="K89" i="49" s="1"/>
  <c r="N89" i="49"/>
  <c r="N102" i="49"/>
  <c r="M102" i="49"/>
  <c r="K102" i="49" s="1"/>
  <c r="W41" i="5"/>
  <c r="W339" i="5"/>
  <c r="W317" i="5"/>
  <c r="W318" i="5"/>
  <c r="W211" i="5"/>
  <c r="W147" i="5"/>
  <c r="W364" i="5"/>
  <c r="W40" i="5"/>
  <c r="W335" i="5"/>
  <c r="W337" i="5"/>
  <c r="W72" i="5"/>
  <c r="W176" i="5"/>
  <c r="W314" i="5"/>
  <c r="W312" i="5"/>
  <c r="W256" i="5"/>
  <c r="W212" i="5"/>
  <c r="W214" i="5"/>
  <c r="W143" i="5"/>
  <c r="W278" i="5"/>
  <c r="M95" i="49"/>
  <c r="K95" i="49" s="1"/>
  <c r="N95" i="49"/>
  <c r="N87" i="49"/>
  <c r="M87" i="49"/>
  <c r="K87" i="49" s="1"/>
  <c r="M48" i="49"/>
  <c r="K48" i="49" s="1"/>
  <c r="J41" i="50" s="1"/>
  <c r="N107" i="49"/>
  <c r="M107" i="49"/>
  <c r="K107" i="49" s="1"/>
  <c r="N22" i="49"/>
  <c r="M22" i="49"/>
  <c r="K22" i="49" s="1"/>
  <c r="M112" i="49"/>
  <c r="K112" i="49" s="1"/>
  <c r="N112" i="49"/>
  <c r="M63" i="49"/>
  <c r="K63" i="49" s="1"/>
  <c r="J56" i="50" s="1"/>
  <c r="M76" i="49"/>
  <c r="K76" i="49" s="1"/>
  <c r="J69" i="50" s="1"/>
  <c r="M104" i="49"/>
  <c r="K104" i="49" s="1"/>
  <c r="J97" i="50" s="1"/>
  <c r="M65" i="49"/>
  <c r="K65" i="49" s="1"/>
  <c r="N65" i="49"/>
  <c r="N68" i="49"/>
  <c r="M68" i="49"/>
  <c r="K68" i="49" s="1"/>
  <c r="W259" i="5"/>
  <c r="W119" i="5"/>
  <c r="W343" i="5"/>
  <c r="W284" i="5"/>
  <c r="W286" i="5"/>
  <c r="W73" i="5"/>
  <c r="W3" i="5"/>
  <c r="W137" i="5"/>
  <c r="W10" i="5"/>
  <c r="W82" i="5"/>
  <c r="S10" i="5"/>
  <c r="E65" i="39"/>
  <c r="H4" i="19"/>
  <c r="H17" i="34"/>
  <c r="H65" i="39"/>
  <c r="E34" i="39"/>
  <c r="E15" i="34"/>
  <c r="H4" i="8"/>
  <c r="S4" i="5"/>
  <c r="H34" i="39"/>
  <c r="W97" i="5"/>
  <c r="W71" i="5"/>
  <c r="S12" i="5"/>
  <c r="H27" i="39"/>
  <c r="E27" i="39"/>
  <c r="H29" i="34"/>
  <c r="H4" i="16"/>
  <c r="W154" i="5"/>
  <c r="W252" i="5"/>
  <c r="W58" i="5"/>
  <c r="W62" i="5"/>
  <c r="W34" i="5"/>
  <c r="W87" i="5"/>
  <c r="W182" i="5"/>
  <c r="W193" i="5"/>
  <c r="W295" i="5"/>
  <c r="W241" i="5"/>
  <c r="W51" i="5"/>
  <c r="W327" i="5"/>
  <c r="W19" i="5"/>
  <c r="W23" i="5"/>
  <c r="W70" i="5"/>
  <c r="W178" i="5"/>
  <c r="W258" i="5"/>
  <c r="M82" i="49"/>
  <c r="K82" i="49" s="1"/>
  <c r="N82" i="49"/>
  <c r="W68" i="5"/>
  <c r="W338" i="5"/>
  <c r="W307" i="5"/>
  <c r="W180" i="5"/>
  <c r="W319" i="5"/>
  <c r="W320" i="5"/>
  <c r="W367" i="5"/>
  <c r="W204" i="5"/>
  <c r="W90" i="5"/>
  <c r="W141" i="5"/>
  <c r="W144" i="5"/>
  <c r="W279" i="5"/>
  <c r="W64" i="5"/>
  <c r="M49" i="49"/>
  <c r="K49" i="49" s="1"/>
  <c r="N49" i="49"/>
  <c r="M30" i="49"/>
  <c r="K30" i="49" s="1"/>
  <c r="N30" i="49"/>
  <c r="N55" i="49"/>
  <c r="M55" i="49"/>
  <c r="K55" i="49" s="1"/>
  <c r="N35" i="49"/>
  <c r="M35" i="49"/>
  <c r="K35" i="49" s="1"/>
  <c r="N80" i="49"/>
  <c r="M80" i="49"/>
  <c r="K80" i="49" s="1"/>
  <c r="N61" i="49"/>
  <c r="M61" i="49"/>
  <c r="K61" i="49" s="1"/>
  <c r="M20" i="49"/>
  <c r="K20" i="49" s="1"/>
  <c r="N20" i="49"/>
  <c r="M26" i="49"/>
  <c r="K26" i="49" s="1"/>
  <c r="N26" i="49"/>
  <c r="M99" i="49"/>
  <c r="K99" i="49" s="1"/>
  <c r="J92" i="50" s="1"/>
  <c r="M114" i="49"/>
  <c r="K114" i="49" s="1"/>
  <c r="N114" i="49"/>
  <c r="N73" i="49"/>
  <c r="M73" i="49"/>
  <c r="K73" i="49" s="1"/>
  <c r="N46" i="49"/>
  <c r="M46" i="49"/>
  <c r="K46" i="49" s="1"/>
  <c r="N108" i="49"/>
  <c r="M108" i="49"/>
  <c r="K108" i="49" s="1"/>
  <c r="M115" i="49"/>
  <c r="K115" i="49" s="1"/>
  <c r="N115" i="49"/>
  <c r="M33" i="49"/>
  <c r="K33" i="49" s="1"/>
  <c r="N33" i="49"/>
  <c r="N57" i="49"/>
  <c r="M57" i="49"/>
  <c r="K57" i="49" s="1"/>
  <c r="N44" i="49"/>
  <c r="M44" i="49"/>
  <c r="K44" i="49" s="1"/>
  <c r="M18" i="49"/>
  <c r="K18" i="49" s="1"/>
  <c r="N18" i="49"/>
  <c r="N96" i="49"/>
  <c r="M96" i="49"/>
  <c r="K96" i="49" s="1"/>
  <c r="M75" i="49"/>
  <c r="K75" i="49" s="1"/>
  <c r="N75" i="49"/>
  <c r="W334" i="5"/>
  <c r="W78" i="5"/>
  <c r="W287" i="5"/>
  <c r="W88" i="5"/>
  <c r="W7" i="5"/>
  <c r="W74" i="5"/>
  <c r="W134" i="5"/>
  <c r="W160" i="5"/>
  <c r="W109" i="5"/>
  <c r="W357" i="5"/>
  <c r="W83" i="5"/>
  <c r="W223" i="5"/>
  <c r="W293" i="5"/>
  <c r="W124" i="5"/>
  <c r="W123" i="5"/>
  <c r="W95" i="5"/>
  <c r="W66" i="5"/>
  <c r="W8" i="5"/>
  <c r="W152" i="5"/>
  <c r="W358" i="5"/>
  <c r="W117" i="5"/>
  <c r="W61" i="5"/>
  <c r="W89" i="5"/>
  <c r="W16" i="5"/>
  <c r="W162" i="5"/>
  <c r="W184" i="5"/>
  <c r="W32" i="5"/>
  <c r="W305" i="5"/>
  <c r="W65" i="5"/>
  <c r="W238" i="5"/>
  <c r="H4" i="1"/>
  <c r="H54" i="39"/>
  <c r="S6" i="5"/>
  <c r="E54" i="39"/>
  <c r="E27" i="34"/>
  <c r="W169" i="5"/>
  <c r="W332" i="5"/>
  <c r="W25" i="5"/>
  <c r="W94" i="5"/>
  <c r="W67" i="5"/>
  <c r="W263" i="5"/>
  <c r="W43" i="5"/>
  <c r="M79" i="49"/>
  <c r="K79" i="49" s="1"/>
  <c r="N79" i="49"/>
  <c r="N81" i="49"/>
  <c r="M81" i="49"/>
  <c r="K81" i="49" s="1"/>
  <c r="W166" i="5"/>
  <c r="W216" i="5"/>
  <c r="W203" i="5"/>
  <c r="W277" i="5"/>
  <c r="W363" i="5"/>
  <c r="W28" i="5"/>
  <c r="W245" i="5"/>
  <c r="W336" i="5"/>
  <c r="W366" i="5"/>
  <c r="W179" i="5"/>
  <c r="H4" i="21"/>
  <c r="H69" i="39"/>
  <c r="E69" i="39"/>
  <c r="S5" i="5"/>
  <c r="E22" i="34"/>
  <c r="W323" i="5"/>
  <c r="W110" i="5"/>
  <c r="W215" i="5"/>
  <c r="W207" i="5"/>
  <c r="W145" i="5"/>
  <c r="W248" i="5"/>
  <c r="N59" i="49"/>
  <c r="M59" i="49"/>
  <c r="K59" i="49" s="1"/>
  <c r="N37" i="49"/>
  <c r="M37" i="49"/>
  <c r="K37" i="49" s="1"/>
  <c r="M109" i="49"/>
  <c r="K109" i="49" s="1"/>
  <c r="J102" i="50" s="1"/>
  <c r="N90" i="49"/>
  <c r="M90" i="49"/>
  <c r="K90" i="49" s="1"/>
  <c r="M19" i="49"/>
  <c r="K19" i="49" s="1"/>
  <c r="N19" i="49"/>
  <c r="M43" i="49"/>
  <c r="K43" i="49" s="1"/>
  <c r="J36" i="50" s="1"/>
  <c r="N52" i="49"/>
  <c r="M52" i="49"/>
  <c r="K52" i="49" s="1"/>
  <c r="W326" i="5"/>
  <c r="W345" i="5"/>
  <c r="W344" i="5"/>
  <c r="W285" i="5"/>
  <c r="W356" i="5"/>
  <c r="W161" i="5"/>
  <c r="W4" i="5"/>
  <c r="W135" i="5"/>
  <c r="W133" i="5"/>
  <c r="W116" i="5"/>
  <c r="W273" i="5"/>
  <c r="W84" i="5"/>
  <c r="W165" i="5"/>
  <c r="W294" i="5"/>
  <c r="W122" i="5"/>
  <c r="W249" i="5"/>
  <c r="W9" i="5"/>
  <c r="W156" i="5"/>
  <c r="W275" i="5"/>
  <c r="W75" i="5"/>
  <c r="W54" i="5"/>
  <c r="W91" i="5"/>
  <c r="W246" i="5"/>
  <c r="W311" i="5"/>
  <c r="W183" i="5"/>
  <c r="W303" i="5"/>
  <c r="W353" i="5"/>
  <c r="W347" i="5"/>
  <c r="W236" i="5"/>
  <c r="W79" i="5"/>
  <c r="W48" i="5"/>
  <c r="W196" i="5"/>
  <c r="W247" i="5"/>
  <c r="W265" i="5"/>
  <c r="W170" i="5"/>
  <c r="W47" i="5"/>
  <c r="W201" i="5"/>
  <c r="M118" i="49"/>
  <c r="K118" i="49" s="1"/>
  <c r="N118" i="49"/>
  <c r="W120" i="5"/>
  <c r="W361" i="5"/>
  <c r="W355" i="5"/>
  <c r="W340" i="5"/>
  <c r="W115" i="5"/>
  <c r="W177" i="5"/>
  <c r="H48" i="39"/>
  <c r="H10" i="34"/>
  <c r="H4" i="18"/>
  <c r="E48" i="39"/>
  <c r="S9" i="5"/>
  <c r="W316" i="5"/>
  <c r="W76" i="5"/>
  <c r="W202" i="5"/>
  <c r="W205" i="5"/>
  <c r="W142" i="5"/>
  <c r="W35" i="5"/>
  <c r="W283" i="5"/>
  <c r="M58" i="49"/>
  <c r="K58" i="49" s="1"/>
  <c r="N58" i="49"/>
  <c r="M27" i="49"/>
  <c r="K27" i="49" s="1"/>
  <c r="N27" i="49"/>
  <c r="N36" i="49"/>
  <c r="M36" i="49"/>
  <c r="K36" i="49" s="1"/>
  <c r="M120" i="49"/>
  <c r="K120" i="49" s="1"/>
  <c r="J113" i="50" s="1"/>
  <c r="M21" i="49"/>
  <c r="K21" i="49" s="1"/>
  <c r="N21" i="49"/>
  <c r="M51" i="49"/>
  <c r="K51" i="49" s="1"/>
  <c r="J44" i="50" s="1"/>
  <c r="N47" i="49"/>
  <c r="M47" i="49"/>
  <c r="K47" i="49" s="1"/>
  <c r="M123" i="49"/>
  <c r="K123" i="49" s="1"/>
  <c r="J116" i="50" s="1"/>
  <c r="N25" i="49"/>
  <c r="M25" i="49"/>
  <c r="K25" i="49" s="1"/>
  <c r="M60" i="49"/>
  <c r="K60" i="49" s="1"/>
  <c r="N60" i="49"/>
  <c r="M88" i="49"/>
  <c r="K88" i="49" s="1"/>
  <c r="N88" i="49"/>
  <c r="M121" i="49"/>
  <c r="N92" i="49"/>
  <c r="M92" i="49"/>
  <c r="K92" i="49" s="1"/>
  <c r="M105" i="49"/>
  <c r="K105" i="49" s="1"/>
  <c r="J98" i="50" s="1"/>
  <c r="M69" i="49"/>
  <c r="K69" i="49" s="1"/>
  <c r="J62" i="50" s="1"/>
  <c r="M39" i="49"/>
  <c r="W112" i="5"/>
  <c r="W346" i="5"/>
  <c r="W342" i="5"/>
  <c r="W272" i="5"/>
  <c r="W324" i="5"/>
  <c r="W136" i="5"/>
  <c r="W309" i="5"/>
  <c r="W106" i="5"/>
  <c r="W325" i="5"/>
  <c r="W85" i="5"/>
  <c r="W220" i="5"/>
  <c r="W291" i="5"/>
  <c r="W126" i="5"/>
  <c r="W128" i="5"/>
  <c r="W100" i="5"/>
  <c r="W96" i="5"/>
  <c r="W69" i="5"/>
  <c r="W267" i="5"/>
  <c r="W250" i="5"/>
  <c r="W60" i="5"/>
  <c r="W57" i="5"/>
  <c r="W157" i="5"/>
  <c r="W271" i="5"/>
  <c r="W185" i="5"/>
  <c r="W188" i="5"/>
  <c r="W298" i="5"/>
  <c r="W255" i="5"/>
  <c r="W348" i="5"/>
  <c r="W242" i="5"/>
  <c r="W237" i="5"/>
  <c r="W310" i="5"/>
  <c r="W77" i="5"/>
  <c r="W197" i="5"/>
  <c r="M32" i="49"/>
  <c r="K32" i="49" s="1"/>
  <c r="N32" i="49"/>
  <c r="N67" i="49"/>
  <c r="M67" i="49"/>
  <c r="K67" i="49" s="1"/>
  <c r="M100" i="49"/>
  <c r="K100" i="49" s="1"/>
  <c r="N100" i="49"/>
  <c r="M70" i="49"/>
  <c r="K70" i="49" s="1"/>
  <c r="J63" i="50" s="1"/>
  <c r="M106" i="49"/>
  <c r="K106" i="49" s="1"/>
  <c r="N106" i="49"/>
  <c r="W50" i="5"/>
  <c r="W288" i="5"/>
  <c r="W331" i="5"/>
  <c r="W369" i="5"/>
  <c r="W2" i="5"/>
  <c r="W229" i="5"/>
  <c r="W224" i="5"/>
  <c r="W227" i="5"/>
  <c r="W228" i="5"/>
  <c r="W226" i="5"/>
  <c r="W225" i="5"/>
  <c r="W181" i="5"/>
  <c r="W130" i="5"/>
  <c r="W140" i="5"/>
  <c r="W107" i="5"/>
  <c r="W113" i="5"/>
  <c r="W81" i="5"/>
  <c r="W219" i="5"/>
  <c r="W222" i="5"/>
  <c r="W125" i="5"/>
  <c r="W103" i="5"/>
  <c r="W150" i="5"/>
  <c r="W365" i="5"/>
  <c r="W253" i="5"/>
  <c r="W55" i="5"/>
  <c r="W59" i="5"/>
  <c r="W163" i="5"/>
  <c r="W266" i="5"/>
  <c r="W189" i="5"/>
  <c r="W187" i="5"/>
  <c r="W299" i="5"/>
  <c r="W304" i="5"/>
  <c r="W350" i="5"/>
  <c r="W352" i="5"/>
  <c r="W234" i="5"/>
  <c r="W235" i="5"/>
  <c r="W159" i="5"/>
  <c r="W20" i="5"/>
  <c r="W18" i="5"/>
  <c r="W36" i="5"/>
  <c r="W260" i="5"/>
  <c r="E60" i="39"/>
  <c r="E40" i="34"/>
  <c r="H60" i="39"/>
  <c r="H4" i="17"/>
  <c r="S8" i="5"/>
  <c r="W315" i="5"/>
  <c r="W213" i="5"/>
  <c r="N42" i="49"/>
  <c r="M42" i="49"/>
  <c r="K42" i="49" s="1"/>
  <c r="W192" i="5"/>
  <c r="W31" i="5"/>
  <c r="W268" i="5"/>
  <c r="W52" i="5"/>
  <c r="W175" i="5"/>
  <c r="W93" i="5"/>
  <c r="W313" i="5"/>
  <c r="W209" i="5"/>
  <c r="W208" i="5"/>
  <c r="W206" i="5"/>
  <c r="W198" i="5"/>
  <c r="W146" i="5"/>
  <c r="W281" i="5"/>
  <c r="N45" i="49"/>
  <c r="M45" i="49"/>
  <c r="K45" i="49" s="1"/>
  <c r="N64" i="49"/>
  <c r="M64" i="49"/>
  <c r="K64" i="49" s="1"/>
  <c r="N77" i="49"/>
  <c r="M77" i="49"/>
  <c r="K77" i="49" s="1"/>
  <c r="M23" i="49"/>
  <c r="K23" i="49" s="1"/>
  <c r="N23" i="49"/>
  <c r="M94" i="49"/>
  <c r="K94" i="49" s="1"/>
  <c r="N94" i="49"/>
  <c r="N97" i="49"/>
  <c r="M97" i="49"/>
  <c r="K97" i="49" s="1"/>
  <c r="M38" i="49"/>
  <c r="K38" i="49" s="1"/>
  <c r="J31" i="50" s="1"/>
  <c r="M117" i="49"/>
  <c r="K117" i="49" s="1"/>
  <c r="J110" i="50" s="1"/>
  <c r="M53" i="49"/>
  <c r="K53" i="49" s="1"/>
  <c r="N53" i="49"/>
  <c r="M28" i="49"/>
  <c r="K28" i="49" s="1"/>
  <c r="N28" i="49"/>
  <c r="N17" i="49"/>
  <c r="M17" i="49"/>
  <c r="K17" i="49" s="1"/>
  <c r="N113" i="49"/>
  <c r="M113" i="49"/>
  <c r="K113" i="49" s="1"/>
  <c r="N111" i="49"/>
  <c r="M111" i="49"/>
  <c r="K111" i="49" s="1"/>
  <c r="M101" i="49"/>
  <c r="K101" i="49" s="1"/>
  <c r="J94" i="50" s="1"/>
  <c r="W46" i="5"/>
  <c r="W341" i="5"/>
  <c r="W86" i="5"/>
  <c r="W289" i="5"/>
  <c r="W330" i="5"/>
  <c r="W53" i="5"/>
  <c r="W139" i="5"/>
  <c r="W108" i="5"/>
  <c r="W49" i="5"/>
  <c r="W243" i="5"/>
  <c r="W290" i="5"/>
  <c r="W129" i="5"/>
  <c r="W127" i="5"/>
  <c r="W99" i="5"/>
  <c r="W102" i="5"/>
  <c r="W155" i="5"/>
  <c r="W153" i="5"/>
  <c r="W114" i="5"/>
  <c r="W63" i="5"/>
  <c r="W194" i="5"/>
  <c r="W329" i="5"/>
  <c r="W186" i="5"/>
  <c r="W297" i="5"/>
  <c r="W301" i="5"/>
  <c r="W349" i="5"/>
  <c r="W233" i="5"/>
  <c r="W244" i="5"/>
  <c r="W24" i="5"/>
  <c r="W17" i="5"/>
  <c r="W38" i="5"/>
  <c r="W328" i="5"/>
  <c r="W261" i="5"/>
  <c r="J40" i="50" l="1"/>
  <c r="L40" i="50"/>
  <c r="J23" i="50"/>
  <c r="L23" i="50"/>
  <c r="J47" i="50"/>
  <c r="L47" i="50"/>
  <c r="J9" i="50"/>
  <c r="L9" i="50"/>
  <c r="L76" i="50"/>
  <c r="J76" i="50"/>
  <c r="L21" i="50"/>
  <c r="J21" i="50"/>
  <c r="L87" i="50"/>
  <c r="J87" i="50"/>
  <c r="J25" i="50"/>
  <c r="L25" i="50"/>
  <c r="J20" i="50"/>
  <c r="L20" i="50"/>
  <c r="L12" i="50"/>
  <c r="J12" i="50"/>
  <c r="J72" i="50"/>
  <c r="L72" i="50"/>
  <c r="L11" i="50"/>
  <c r="J11" i="50"/>
  <c r="L108" i="50"/>
  <c r="J108" i="50"/>
  <c r="J107" i="50"/>
  <c r="L107" i="50"/>
  <c r="J73" i="50"/>
  <c r="L73" i="50"/>
  <c r="J75" i="50"/>
  <c r="L75" i="50"/>
  <c r="J58" i="50"/>
  <c r="L58" i="50"/>
  <c r="L100" i="50"/>
  <c r="J100" i="50"/>
  <c r="L79" i="50"/>
  <c r="J79" i="50"/>
  <c r="L38" i="50"/>
  <c r="J38" i="50"/>
  <c r="J99" i="50"/>
  <c r="L99" i="50"/>
  <c r="J37" i="50"/>
  <c r="L37" i="50"/>
  <c r="J101" i="50"/>
  <c r="L101" i="50"/>
  <c r="L42" i="50"/>
  <c r="J42" i="50"/>
  <c r="L65" i="50"/>
  <c r="J65" i="50"/>
  <c r="L78" i="50"/>
  <c r="J78" i="50"/>
  <c r="J77" i="50"/>
  <c r="L77" i="50"/>
  <c r="J81" i="50"/>
  <c r="L81" i="50"/>
  <c r="L83" i="50"/>
  <c r="J83" i="50"/>
  <c r="L46" i="50"/>
  <c r="J46" i="50"/>
  <c r="J16" i="50"/>
  <c r="L16" i="50"/>
  <c r="J51" i="50"/>
  <c r="L51" i="50"/>
  <c r="J28" i="50"/>
  <c r="L28" i="50"/>
  <c r="J95" i="50"/>
  <c r="L95" i="50"/>
  <c r="L106" i="50"/>
  <c r="J106" i="50"/>
  <c r="J70" i="50"/>
  <c r="L70" i="50"/>
  <c r="L53" i="50"/>
  <c r="J53" i="50"/>
  <c r="L14" i="50"/>
  <c r="J14" i="50"/>
  <c r="L50" i="50"/>
  <c r="J50" i="50"/>
  <c r="J39" i="50"/>
  <c r="L39" i="50"/>
  <c r="L19" i="50"/>
  <c r="J19" i="50"/>
  <c r="J80" i="50"/>
  <c r="L80" i="50"/>
  <c r="J24" i="50"/>
  <c r="L24" i="50"/>
  <c r="J49" i="50"/>
  <c r="L49" i="50"/>
  <c r="J33" i="50"/>
  <c r="L33" i="50"/>
  <c r="L45" i="50"/>
  <c r="J45" i="50"/>
  <c r="J30" i="50"/>
  <c r="L30" i="50"/>
  <c r="L68" i="50"/>
  <c r="J68" i="50"/>
  <c r="L48" i="50"/>
  <c r="J48" i="50"/>
  <c r="L71" i="50"/>
  <c r="J71" i="50"/>
  <c r="L104" i="50"/>
  <c r="J104" i="50"/>
  <c r="F8" i="38"/>
  <c r="G8" i="38" s="1"/>
  <c r="C8" i="38"/>
  <c r="D8" i="38" s="1"/>
  <c r="C9" i="38"/>
  <c r="D9" i="38" s="1"/>
  <c r="F11" i="38"/>
  <c r="G11" i="38" s="1"/>
  <c r="C16" i="38"/>
  <c r="D16" i="38" s="1"/>
  <c r="F31" i="38"/>
  <c r="G31" i="38" s="1"/>
  <c r="F18" i="38"/>
  <c r="G18" i="38" s="1"/>
  <c r="F23" i="38"/>
  <c r="G23" i="38" s="1"/>
  <c r="C11" i="38"/>
  <c r="D11" i="38" s="1"/>
  <c r="F25" i="38"/>
  <c r="G25" i="38" s="1"/>
  <c r="C20" i="38"/>
  <c r="D20" i="38" s="1"/>
  <c r="C25" i="38"/>
  <c r="D25" i="38" s="1"/>
  <c r="F35" i="38"/>
  <c r="G35" i="38" s="1"/>
  <c r="F32" i="38"/>
  <c r="G32" i="38" s="1"/>
  <c r="F17" i="38"/>
  <c r="G17" i="38" s="1"/>
  <c r="C10" i="38"/>
  <c r="D10" i="38" s="1"/>
  <c r="C21" i="38"/>
  <c r="D21" i="38" s="1"/>
  <c r="C29" i="38"/>
  <c r="D29" i="38" s="1"/>
  <c r="F37" i="38"/>
  <c r="G37" i="38" s="1"/>
  <c r="C38" i="38"/>
  <c r="D38" i="38" s="1"/>
  <c r="F28" i="38"/>
  <c r="G28" i="38" s="1"/>
  <c r="F14" i="38"/>
  <c r="G14" i="38" s="1"/>
  <c r="C13" i="38"/>
  <c r="D13" i="38" s="1"/>
  <c r="C19" i="38"/>
  <c r="D19" i="38" s="1"/>
  <c r="C35" i="38"/>
  <c r="D35" i="38" s="1"/>
  <c r="F10" i="38"/>
  <c r="G10" i="38" s="1"/>
  <c r="C32" i="38"/>
  <c r="D32" i="38" s="1"/>
  <c r="C15" i="38"/>
  <c r="D15" i="38" s="1"/>
  <c r="C17" i="38"/>
  <c r="D17" i="38" s="1"/>
  <c r="F13" i="38"/>
  <c r="G13" i="38" s="1"/>
  <c r="C23" i="38"/>
  <c r="D23" i="38" s="1"/>
  <c r="C37" i="38"/>
  <c r="D37" i="38" s="1"/>
  <c r="C34" i="38"/>
  <c r="D34" i="38" s="1"/>
  <c r="F29" i="38"/>
  <c r="G29" i="38" s="1"/>
  <c r="C27" i="38"/>
  <c r="D27" i="38" s="1"/>
  <c r="F9" i="38"/>
  <c r="G9" i="38" s="1"/>
  <c r="F27" i="38"/>
  <c r="G27" i="38" s="1"/>
  <c r="F19" i="38"/>
  <c r="G19" i="38" s="1"/>
  <c r="F20" i="38"/>
  <c r="G20" i="38" s="1"/>
  <c r="F26" i="38"/>
  <c r="G26" i="38" s="1"/>
  <c r="C28" i="38"/>
  <c r="D28" i="38" s="1"/>
  <c r="C24" i="38"/>
  <c r="D24" i="38" s="1"/>
  <c r="F24" i="38"/>
  <c r="G24" i="38" s="1"/>
  <c r="F22" i="38"/>
  <c r="G22" i="38" s="1"/>
  <c r="C39" i="38"/>
  <c r="D39" i="38" s="1"/>
  <c r="F39" i="38"/>
  <c r="G39" i="38" s="1"/>
  <c r="F36" i="38"/>
  <c r="G36" i="38" s="1"/>
  <c r="F30" i="38"/>
  <c r="G30" i="38" s="1"/>
  <c r="F21" i="38"/>
  <c r="G21" i="38" s="1"/>
  <c r="F12" i="38"/>
  <c r="G12" i="38" s="1"/>
  <c r="C14" i="38"/>
  <c r="D14" i="38" s="1"/>
  <c r="F38" i="38"/>
  <c r="G38" i="38" s="1"/>
  <c r="C18" i="38"/>
  <c r="D18" i="38" s="1"/>
  <c r="C33" i="38"/>
  <c r="D33" i="38" s="1"/>
  <c r="C36" i="38"/>
  <c r="D36" i="38" s="1"/>
  <c r="F16" i="38"/>
  <c r="G16" i="38" s="1"/>
  <c r="C31" i="38"/>
  <c r="D31" i="38" s="1"/>
  <c r="F33" i="38"/>
  <c r="G33" i="38" s="1"/>
  <c r="C30" i="38"/>
  <c r="D30" i="38" s="1"/>
  <c r="C12" i="38"/>
  <c r="D12" i="38" s="1"/>
  <c r="F15" i="38"/>
  <c r="G15" i="38" s="1"/>
  <c r="F34" i="38"/>
  <c r="G34" i="38" s="1"/>
  <c r="C22" i="38"/>
  <c r="D22" i="38" s="1"/>
  <c r="C26" i="38"/>
  <c r="D26" i="38" s="1"/>
  <c r="L93" i="50"/>
  <c r="J93" i="50"/>
  <c r="L18" i="50"/>
  <c r="J18" i="50"/>
  <c r="J10" i="50"/>
  <c r="L10" i="50"/>
  <c r="L90" i="50"/>
  <c r="J90" i="50"/>
  <c r="L57" i="50"/>
  <c r="J57" i="50"/>
  <c r="J60" i="50"/>
  <c r="L60" i="50"/>
  <c r="L85" i="50"/>
  <c r="J85" i="50"/>
  <c r="L29" i="50"/>
  <c r="J29" i="50"/>
  <c r="J74" i="50"/>
  <c r="L74" i="50"/>
  <c r="J89" i="50"/>
  <c r="L89" i="50"/>
  <c r="J66" i="50"/>
  <c r="L66" i="50"/>
  <c r="L13" i="50"/>
  <c r="J13" i="50"/>
  <c r="L61" i="50"/>
  <c r="J61" i="50"/>
  <c r="L105" i="50"/>
  <c r="J105" i="50"/>
  <c r="L82" i="50"/>
  <c r="J82" i="50"/>
  <c r="L86" i="50"/>
  <c r="J86" i="50"/>
  <c r="J34" i="50"/>
  <c r="L34" i="50"/>
  <c r="J96" i="50"/>
  <c r="L96" i="50"/>
  <c r="L84" i="50"/>
  <c r="J84" i="50"/>
  <c r="J35" i="50"/>
  <c r="L35" i="50"/>
  <c r="L111" i="50"/>
  <c r="J111" i="50"/>
  <c r="L52" i="50"/>
  <c r="J52" i="50"/>
  <c r="J26" i="50"/>
  <c r="L26" i="50"/>
  <c r="L54" i="50"/>
  <c r="J54" i="50"/>
  <c r="J15" i="50"/>
  <c r="L15" i="50"/>
  <c r="J88" i="50"/>
  <c r="L88" i="50"/>
</calcChain>
</file>

<file path=xl/sharedStrings.xml><?xml version="1.0" encoding="utf-8"?>
<sst xmlns="http://schemas.openxmlformats.org/spreadsheetml/2006/main" count="13460" uniqueCount="3126">
  <si>
    <t>RISK</t>
  </si>
  <si>
    <t>●</t>
  </si>
  <si>
    <t>Taso</t>
  </si>
  <si>
    <t>Käytäntö</t>
  </si>
  <si>
    <t>Vastaus</t>
  </si>
  <si>
    <t>1a</t>
  </si>
  <si>
    <t>4 - Täysin toteutettu</t>
  </si>
  <si>
    <t>1b</t>
  </si>
  <si>
    <t>1c</t>
  </si>
  <si>
    <t>1d</t>
  </si>
  <si>
    <t>1e</t>
  </si>
  <si>
    <t>1f</t>
  </si>
  <si>
    <t>1g</t>
  </si>
  <si>
    <t>1h</t>
  </si>
  <si>
    <t>1i</t>
  </si>
  <si>
    <t>1j</t>
  </si>
  <si>
    <t xml:space="preserve"> </t>
  </si>
  <si>
    <t>2a</t>
  </si>
  <si>
    <t>2b</t>
  </si>
  <si>
    <t>2c</t>
  </si>
  <si>
    <t>2d</t>
  </si>
  <si>
    <t>2e</t>
  </si>
  <si>
    <t>3a</t>
  </si>
  <si>
    <t>3b</t>
  </si>
  <si>
    <t>3c</t>
  </si>
  <si>
    <t>3d</t>
  </si>
  <si>
    <t>3e</t>
  </si>
  <si>
    <t>3f</t>
  </si>
  <si>
    <t>3g</t>
  </si>
  <si>
    <t>Domain</t>
  </si>
  <si>
    <t>DomainSub</t>
  </si>
  <si>
    <t>Practice</t>
  </si>
  <si>
    <t>PracticeShort</t>
  </si>
  <si>
    <t>PracticeMIL</t>
  </si>
  <si>
    <t>AnswerLevel</t>
  </si>
  <si>
    <t>AnswerBool</t>
  </si>
  <si>
    <t>H_taso</t>
  </si>
  <si>
    <t>H_käytäntöjä</t>
  </si>
  <si>
    <t>V2.0</t>
  </si>
  <si>
    <t>FINAL</t>
  </si>
  <si>
    <t>RISK-1</t>
  </si>
  <si>
    <t>RISK-1a</t>
  </si>
  <si>
    <t>RISK-1b</t>
  </si>
  <si>
    <t>RISK-1c</t>
  </si>
  <si>
    <t>RISK-2</t>
  </si>
  <si>
    <t>RISK-1d</t>
  </si>
  <si>
    <t>RISK-3</t>
  </si>
  <si>
    <t>RISK-1e</t>
  </si>
  <si>
    <t>ASSET</t>
  </si>
  <si>
    <t>RISK-1f</t>
  </si>
  <si>
    <t>ASSET-1</t>
  </si>
  <si>
    <t>RISK-1g</t>
  </si>
  <si>
    <t>ASSET-2</t>
  </si>
  <si>
    <t>RISK-1h</t>
  </si>
  <si>
    <t>ASSET-3</t>
  </si>
  <si>
    <t>RISK-1i</t>
  </si>
  <si>
    <t>ASSET-4</t>
  </si>
  <si>
    <t>CRITICAL</t>
  </si>
  <si>
    <t>RISK-1j</t>
  </si>
  <si>
    <t>ASSET-5</t>
  </si>
  <si>
    <t>RISK-2a</t>
  </si>
  <si>
    <t>ACCESS</t>
  </si>
  <si>
    <t>RISK-2b</t>
  </si>
  <si>
    <t>ACCESS-1</t>
  </si>
  <si>
    <t>RISK-2c</t>
  </si>
  <si>
    <t>ACCESS-2</t>
  </si>
  <si>
    <t>THREAT</t>
  </si>
  <si>
    <t>RISK-2d</t>
  </si>
  <si>
    <t>ACCESS-3</t>
  </si>
  <si>
    <t>SITUATION</t>
  </si>
  <si>
    <t>RISK-2e</t>
  </si>
  <si>
    <t>RESPONSE</t>
  </si>
  <si>
    <t>RISK-3a</t>
  </si>
  <si>
    <t>THREAT-1</t>
  </si>
  <si>
    <t>DEPENDENCIES</t>
  </si>
  <si>
    <t>RISK-3b</t>
  </si>
  <si>
    <t>THREAT-2</t>
  </si>
  <si>
    <t>WORKFORCE</t>
  </si>
  <si>
    <t>RISK-3c</t>
  </si>
  <si>
    <t>THREAT-3</t>
  </si>
  <si>
    <t>ARCHITECTURE</t>
  </si>
  <si>
    <t>RISK-3d</t>
  </si>
  <si>
    <t>PROGRAM</t>
  </si>
  <si>
    <t>RISK-3e</t>
  </si>
  <si>
    <t>SITUATION-1</t>
  </si>
  <si>
    <t>RISK-3f</t>
  </si>
  <si>
    <t>SITUATION-2</t>
  </si>
  <si>
    <t>RISK-3g</t>
  </si>
  <si>
    <t>SITUATION-3</t>
  </si>
  <si>
    <t>ASSET-1a</t>
  </si>
  <si>
    <t>SITUATION-4</t>
  </si>
  <si>
    <t>ASSET-1b</t>
  </si>
  <si>
    <t>ASSET-1c</t>
  </si>
  <si>
    <t>RESPONSE-1</t>
  </si>
  <si>
    <t>ASSET-1d</t>
  </si>
  <si>
    <t>RESPONSE-2</t>
  </si>
  <si>
    <t>ASSET-1e</t>
  </si>
  <si>
    <t>RESPONSE-3</t>
  </si>
  <si>
    <t>ASSET-1f</t>
  </si>
  <si>
    <t>RESPONSE-4</t>
  </si>
  <si>
    <t>ASSET-2a</t>
  </si>
  <si>
    <t>ASSET-2b</t>
  </si>
  <si>
    <t>DEPENDENCIES-1</t>
  </si>
  <si>
    <t>ASSET-2c</t>
  </si>
  <si>
    <t>DEPENDENCIES-2</t>
  </si>
  <si>
    <t>ASSET-2d</t>
  </si>
  <si>
    <t>DEPENDENCIES-3</t>
  </si>
  <si>
    <t>ASSET-2e</t>
  </si>
  <si>
    <t>ASSET-2f</t>
  </si>
  <si>
    <t>2f</t>
  </si>
  <si>
    <t>WORKFORCE-1</t>
  </si>
  <si>
    <t>ASSET-3a</t>
  </si>
  <si>
    <t>WORKFORCE-2</t>
  </si>
  <si>
    <t>ASSET-3b</t>
  </si>
  <si>
    <t>WORKFORCE-3</t>
  </si>
  <si>
    <t>ASSET-3c</t>
  </si>
  <si>
    <t>WORKFORCE-4</t>
  </si>
  <si>
    <t>ASSET-3d</t>
  </si>
  <si>
    <t>WORKFORCE-5</t>
  </si>
  <si>
    <t>ASSET-3e</t>
  </si>
  <si>
    <t>ASSET-3f</t>
  </si>
  <si>
    <t>ARCHITECTURE-1</t>
  </si>
  <si>
    <t>ASSET-4a</t>
  </si>
  <si>
    <t>4a</t>
  </si>
  <si>
    <t>ARCHITECTURE-2</t>
  </si>
  <si>
    <t>ASSET-4b</t>
  </si>
  <si>
    <t>4b</t>
  </si>
  <si>
    <t>ARCHITECTURE-3</t>
  </si>
  <si>
    <t>ASSET-4c</t>
  </si>
  <si>
    <t>4c</t>
  </si>
  <si>
    <t>ARCHITECTURE-4</t>
  </si>
  <si>
    <t>ASSET-4d</t>
  </si>
  <si>
    <t>4d</t>
  </si>
  <si>
    <t>ARCHITECTURE-5</t>
  </si>
  <si>
    <t>ASSET-4e</t>
  </si>
  <si>
    <t>4e</t>
  </si>
  <si>
    <t>ASSET-4f</t>
  </si>
  <si>
    <t>4f</t>
  </si>
  <si>
    <t>PROGRAM-1</t>
  </si>
  <si>
    <t>ASSET-5a</t>
  </si>
  <si>
    <t>5a</t>
  </si>
  <si>
    <t>PROGRAM-2</t>
  </si>
  <si>
    <t>ASSET-5b</t>
  </si>
  <si>
    <t>5b</t>
  </si>
  <si>
    <t>PROGRAM-3</t>
  </si>
  <si>
    <t>ASSET-5c</t>
  </si>
  <si>
    <t>5c</t>
  </si>
  <si>
    <t>PROGRAM-4</t>
  </si>
  <si>
    <t>ASSET-5d</t>
  </si>
  <si>
    <t>5d</t>
  </si>
  <si>
    <t>ASSET-5e</t>
  </si>
  <si>
    <t>5e</t>
  </si>
  <si>
    <t>ASSET-5f</t>
  </si>
  <si>
    <t>5f</t>
  </si>
  <si>
    <t>CRITICAL-1</t>
  </si>
  <si>
    <t>ASSET-5g</t>
  </si>
  <si>
    <t>5g</t>
  </si>
  <si>
    <t>CRITICAL-2</t>
  </si>
  <si>
    <t>ACCESS-1a</t>
  </si>
  <si>
    <t>CRITICAL-3</t>
  </si>
  <si>
    <t>ACCESS-1b</t>
  </si>
  <si>
    <t>ACCESS-1c</t>
  </si>
  <si>
    <t>ACCESS-1d</t>
  </si>
  <si>
    <t>ACCESS-1e</t>
  </si>
  <si>
    <t>ACCESS-1f</t>
  </si>
  <si>
    <t>ACCESS-1g</t>
  </si>
  <si>
    <t>ACCESS-2a</t>
  </si>
  <si>
    <t>ACCESS-2b</t>
  </si>
  <si>
    <t>ACCESS-2c</t>
  </si>
  <si>
    <t>ACCESS-2d</t>
  </si>
  <si>
    <t>ACCESS-2e</t>
  </si>
  <si>
    <t>ACCESS-2f</t>
  </si>
  <si>
    <t>ACCESS-2g</t>
  </si>
  <si>
    <t>2g</t>
  </si>
  <si>
    <t>ACCESS-2h</t>
  </si>
  <si>
    <t>2h</t>
  </si>
  <si>
    <t>ACCESS-3a</t>
  </si>
  <si>
    <t>ACCESS-3b</t>
  </si>
  <si>
    <t>ACCESS-3c</t>
  </si>
  <si>
    <t>ACCESS-3d</t>
  </si>
  <si>
    <t>ACCESS-3e</t>
  </si>
  <si>
    <t>ACCESS-3f</t>
  </si>
  <si>
    <t>ACCESS-3g</t>
  </si>
  <si>
    <t>THREAT-1a</t>
  </si>
  <si>
    <t>THREAT-1b</t>
  </si>
  <si>
    <t>THREAT-1c</t>
  </si>
  <si>
    <t>THREAT-1d</t>
  </si>
  <si>
    <t>THREAT-1e</t>
  </si>
  <si>
    <t>THREAT-1f</t>
  </si>
  <si>
    <t>THREAT-1g</t>
  </si>
  <si>
    <t>THREAT-1h</t>
  </si>
  <si>
    <t>THREAT-1i</t>
  </si>
  <si>
    <t>THREAT-1j</t>
  </si>
  <si>
    <t>THREAT-1k</t>
  </si>
  <si>
    <t>1k</t>
  </si>
  <si>
    <t>THREAT-1l</t>
  </si>
  <si>
    <t>1l</t>
  </si>
  <si>
    <t>THREAT-2a</t>
  </si>
  <si>
    <t>THREAT-2b</t>
  </si>
  <si>
    <t>THREAT-2c</t>
  </si>
  <si>
    <t>THREAT-2d</t>
  </si>
  <si>
    <t>THREAT-2e</t>
  </si>
  <si>
    <t>THREAT-2f</t>
  </si>
  <si>
    <t>THREAT-2g</t>
  </si>
  <si>
    <t>THREAT-2h</t>
  </si>
  <si>
    <t>THREAT-2i</t>
  </si>
  <si>
    <t>2i</t>
  </si>
  <si>
    <t>THREAT-2j</t>
  </si>
  <si>
    <t>2j</t>
  </si>
  <si>
    <t>THREAT-2k</t>
  </si>
  <si>
    <t>2k</t>
  </si>
  <si>
    <t>THREAT-2l</t>
  </si>
  <si>
    <t>2l</t>
  </si>
  <si>
    <t>THREAT-2m</t>
  </si>
  <si>
    <t>2m</t>
  </si>
  <si>
    <t>THREAT-3a</t>
  </si>
  <si>
    <t>THREAT-3b</t>
  </si>
  <si>
    <t>THREAT-3c</t>
  </si>
  <si>
    <t>THREAT-3d</t>
  </si>
  <si>
    <t>THREAT-3e</t>
  </si>
  <si>
    <t>THREAT-3f</t>
  </si>
  <si>
    <t>THREAT-3g</t>
  </si>
  <si>
    <t>SITUATION-1a</t>
  </si>
  <si>
    <t>SITUATION-1b</t>
  </si>
  <si>
    <t>SITUATION-1c</t>
  </si>
  <si>
    <t>SITUATION-1d</t>
  </si>
  <si>
    <t>SITUATION-2a</t>
  </si>
  <si>
    <t>SITUATION-2b</t>
  </si>
  <si>
    <t>SITUATION-2c</t>
  </si>
  <si>
    <t>SITUATION-2d</t>
  </si>
  <si>
    <t>SITUATION-2e</t>
  </si>
  <si>
    <t>SITUATION-2f</t>
  </si>
  <si>
    <t>SITUATION-2g</t>
  </si>
  <si>
    <t>SITUATION-2h</t>
  </si>
  <si>
    <t>SITUATION-2i</t>
  </si>
  <si>
    <t>SITUATION-2j</t>
  </si>
  <si>
    <t>SITUATION-3a</t>
  </si>
  <si>
    <t>SITUATION-3b</t>
  </si>
  <si>
    <t>SITUATION-3c</t>
  </si>
  <si>
    <t>SITUATION-3d</t>
  </si>
  <si>
    <t>SITUATION-3e</t>
  </si>
  <si>
    <t>SITUATION-3f</t>
  </si>
  <si>
    <t>SITUATION-3g</t>
  </si>
  <si>
    <t>SITUATION-3h</t>
  </si>
  <si>
    <t>3h</t>
  </si>
  <si>
    <t>SITUATION-4a</t>
  </si>
  <si>
    <t>SITUATION-4b</t>
  </si>
  <si>
    <t>SITUATION-4c</t>
  </si>
  <si>
    <t>SITUATION-4d</t>
  </si>
  <si>
    <t>SITUATION-4e</t>
  </si>
  <si>
    <t>SITUATION-4f</t>
  </si>
  <si>
    <t>SITUATION-4g</t>
  </si>
  <si>
    <t>4g</t>
  </si>
  <si>
    <t>RESPONSE-1a</t>
  </si>
  <si>
    <t>RESPONSE-1b</t>
  </si>
  <si>
    <t>RESPONSE-1c</t>
  </si>
  <si>
    <t>RESPONSE-1d</t>
  </si>
  <si>
    <t>RESPONSE-1e</t>
  </si>
  <si>
    <t>RESPONSE-1f</t>
  </si>
  <si>
    <t>RESPONSE-2a</t>
  </si>
  <si>
    <t>RESPONSE-2b</t>
  </si>
  <si>
    <t>RESPONSE-2c</t>
  </si>
  <si>
    <t>RESPONSE-2d</t>
  </si>
  <si>
    <t>RESPONSE-2e</t>
  </si>
  <si>
    <t>RESPONSE-2f</t>
  </si>
  <si>
    <t>RESPONSE-2g</t>
  </si>
  <si>
    <t>RESPONSE-2h</t>
  </si>
  <si>
    <t>RESPONSE-2i</t>
  </si>
  <si>
    <t>RESPONSE-3a</t>
  </si>
  <si>
    <t>RESPONSE-3b</t>
  </si>
  <si>
    <t>RESPONSE-3c</t>
  </si>
  <si>
    <t>RESPONSE-3d</t>
  </si>
  <si>
    <t>RESPONSE-3e</t>
  </si>
  <si>
    <t>RESPONSE-3f</t>
  </si>
  <si>
    <t>RESPONSE-3g</t>
  </si>
  <si>
    <t>RESPONSE-3h</t>
  </si>
  <si>
    <t>RESPONSE-3i</t>
  </si>
  <si>
    <t>3i</t>
  </si>
  <si>
    <t>RESPONSE-3j</t>
  </si>
  <si>
    <t>3j</t>
  </si>
  <si>
    <t>RESPONSE-4a</t>
  </si>
  <si>
    <t>RESPONSE-4b</t>
  </si>
  <si>
    <t>RESPONSE-4c</t>
  </si>
  <si>
    <t>RESPONSE-4d</t>
  </si>
  <si>
    <t>RESPONSE-4e</t>
  </si>
  <si>
    <t>RESPONSE-4f</t>
  </si>
  <si>
    <t>RESPONSE-4g</t>
  </si>
  <si>
    <t>DEPENDENCIES-1a</t>
  </si>
  <si>
    <t>DEPENDENCIES-1b</t>
  </si>
  <si>
    <t>DEPENDENCIES-1c</t>
  </si>
  <si>
    <t>DEPENDENCIES-1d</t>
  </si>
  <si>
    <t>DEPENDENCIES-1e</t>
  </si>
  <si>
    <t>DEPENDENCIES-1f</t>
  </si>
  <si>
    <t>DEPENDENCIES-1g</t>
  </si>
  <si>
    <t>DEPENDENCIES-2a</t>
  </si>
  <si>
    <t>DEPENDENCIES-2b</t>
  </si>
  <si>
    <t>DEPENDENCIES-2c</t>
  </si>
  <si>
    <t>DEPENDENCIES-2d</t>
  </si>
  <si>
    <t>DEPENDENCIES-2e</t>
  </si>
  <si>
    <t>DEPENDENCIES-2f</t>
  </si>
  <si>
    <t>DEPENDENCIES-2g</t>
  </si>
  <si>
    <t>DEPENDENCIES-2h</t>
  </si>
  <si>
    <t>DEPENDENCIES-2i</t>
  </si>
  <si>
    <t>DEPENDENCIES-2j</t>
  </si>
  <si>
    <t>DEPENDENCIES-2k</t>
  </si>
  <si>
    <t>DEPENDENCIES-2l</t>
  </si>
  <si>
    <t>DEPENDENCIES-2m</t>
  </si>
  <si>
    <t>DEPENDENCIES-2n</t>
  </si>
  <si>
    <t>DEPENDENCIES-3a</t>
  </si>
  <si>
    <t>DEPENDENCIES-3b</t>
  </si>
  <si>
    <t>DEPENDENCIES-3c</t>
  </si>
  <si>
    <t>DEPENDENCIES-3d</t>
  </si>
  <si>
    <t>DEPENDENCIES-3e</t>
  </si>
  <si>
    <t>DEPENDENCIES-3f</t>
  </si>
  <si>
    <t>DEPENDENCIES-3g</t>
  </si>
  <si>
    <t>WORKFORCE-1a</t>
  </si>
  <si>
    <t>WORKFORCE-1b</t>
  </si>
  <si>
    <t>WORKFORCE-1c</t>
  </si>
  <si>
    <t>WORKFORCE-1d</t>
  </si>
  <si>
    <t>WORKFORCE-1e</t>
  </si>
  <si>
    <t>WORKFORCE-1f</t>
  </si>
  <si>
    <t>WORKFORCE-2a</t>
  </si>
  <si>
    <t>WORKFORCE-2b</t>
  </si>
  <si>
    <t>WORKFORCE-2c</t>
  </si>
  <si>
    <t>WORKFORCE-2d</t>
  </si>
  <si>
    <t>WORKFORCE-2e</t>
  </si>
  <si>
    <t>WORKFORCE-2f</t>
  </si>
  <si>
    <t>WORKFORCE-3a</t>
  </si>
  <si>
    <t>WORKFORCE-3b</t>
  </si>
  <si>
    <t>WORKFORCE-3c</t>
  </si>
  <si>
    <t>WORKFORCE-3d</t>
  </si>
  <si>
    <t>WORKFORCE-3e</t>
  </si>
  <si>
    <t>WORKFORCE-3f</t>
  </si>
  <si>
    <t>WORKFORCE-4a</t>
  </si>
  <si>
    <t>WORKFORCE-4b</t>
  </si>
  <si>
    <t>WORKFORCE-4c</t>
  </si>
  <si>
    <t>WORKFORCE-4d</t>
  </si>
  <si>
    <t>WORKFORCE-4e</t>
  </si>
  <si>
    <t>WORKFORCE-5a</t>
  </si>
  <si>
    <t>WORKFORCE-5b</t>
  </si>
  <si>
    <t>WORKFORCE-5c</t>
  </si>
  <si>
    <t>WORKFORCE-5d</t>
  </si>
  <si>
    <t>WORKFORCE-5e</t>
  </si>
  <si>
    <t>WORKFORCE-5f</t>
  </si>
  <si>
    <t>WORKFORCE-5g</t>
  </si>
  <si>
    <t>ARCHITECTURE-1a</t>
  </si>
  <si>
    <t>ARCHITECTURE-1b</t>
  </si>
  <si>
    <t>ARCHITECTURE-1c</t>
  </si>
  <si>
    <t>ARCHITECTURE-1d</t>
  </si>
  <si>
    <t>ARCHITECTURE-1e</t>
  </si>
  <si>
    <t>ARCHITECTURE-1f</t>
  </si>
  <si>
    <t>ARCHITECTURE-1g</t>
  </si>
  <si>
    <t>ARCHITECTURE-1h</t>
  </si>
  <si>
    <t>ARCHITECTURE-1i</t>
  </si>
  <si>
    <t>ARCHITECTURE-2a</t>
  </si>
  <si>
    <t>ARCHITECTURE-2b</t>
  </si>
  <si>
    <t>ARCHITECTURE-2c</t>
  </si>
  <si>
    <t>ARCHITECTURE-3a</t>
  </si>
  <si>
    <t>ARCHITECTURE-3b</t>
  </si>
  <si>
    <t>ARCHITECTURE-3c</t>
  </si>
  <si>
    <t>ARCHITECTURE-3d</t>
  </si>
  <si>
    <t>ARCHITECTURE-4a</t>
  </si>
  <si>
    <t>ARCHITECTURE-4b</t>
  </si>
  <si>
    <t>ARCHITECTURE-4c</t>
  </si>
  <si>
    <t>ARCHITECTURE-4d</t>
  </si>
  <si>
    <t>ARCHITECTURE-4e</t>
  </si>
  <si>
    <t>ARCHITECTURE-4f</t>
  </si>
  <si>
    <t>ARCHITECTURE-4g</t>
  </si>
  <si>
    <t>ARCHITECTURE-4h</t>
  </si>
  <si>
    <t>4h</t>
  </si>
  <si>
    <t>ARCHITECTURE-4i</t>
  </si>
  <si>
    <t>4i</t>
  </si>
  <si>
    <t>ARCHITECTURE-5a</t>
  </si>
  <si>
    <t>ARCHITECTURE-5b</t>
  </si>
  <si>
    <t>ARCHITECTURE-5c</t>
  </si>
  <si>
    <t>ARCHITECTURE-5d</t>
  </si>
  <si>
    <t>ARCHITECTURE-5e</t>
  </si>
  <si>
    <t>ARCHITECTURE-5f</t>
  </si>
  <si>
    <t>ARCHITECTURE-5g</t>
  </si>
  <si>
    <t>PROGRAM-1a</t>
  </si>
  <si>
    <t>PROGRAM-1b</t>
  </si>
  <si>
    <t>PROGRAM-1c</t>
  </si>
  <si>
    <t>PROGRAM-1d</t>
  </si>
  <si>
    <t>PROGRAM-1e</t>
  </si>
  <si>
    <t>PROGRAM-1f</t>
  </si>
  <si>
    <t>PROGRAM-1g</t>
  </si>
  <si>
    <t>PROGRAM-1h</t>
  </si>
  <si>
    <t>PROGRAM-2a</t>
  </si>
  <si>
    <t>PROGRAM-2b</t>
  </si>
  <si>
    <t>PROGRAM-2c</t>
  </si>
  <si>
    <t>PROGRAM-2d</t>
  </si>
  <si>
    <t>PROGRAM-2e</t>
  </si>
  <si>
    <t>PROGRAM-2f</t>
  </si>
  <si>
    <t>PROGRAM-2g</t>
  </si>
  <si>
    <t>PROGRAM-2h</t>
  </si>
  <si>
    <t>PROGRAM-2i</t>
  </si>
  <si>
    <t>PROGRAM-2j</t>
  </si>
  <si>
    <t>PROGRAM-2k</t>
  </si>
  <si>
    <t>PROGRAM-2l</t>
  </si>
  <si>
    <t>PROGRAM-3a</t>
  </si>
  <si>
    <t>PROGRAM-3b</t>
  </si>
  <si>
    <t>PROGRAM-3c</t>
  </si>
  <si>
    <t>PROGRAM-3d</t>
  </si>
  <si>
    <t>PROGRAM-3e</t>
  </si>
  <si>
    <t>PROGRAM-3f</t>
  </si>
  <si>
    <t>PROGRAM-3g</t>
  </si>
  <si>
    <t>PROGRAM-3h</t>
  </si>
  <si>
    <t>PROGRAM-3i</t>
  </si>
  <si>
    <t>PROGRAM-3j</t>
  </si>
  <si>
    <t>PROGRAM-3k</t>
  </si>
  <si>
    <t>3k</t>
  </si>
  <si>
    <t>PROGRAM-3l</t>
  </si>
  <si>
    <t>PROGRAM-3m</t>
  </si>
  <si>
    <t>PROGRAM-4a</t>
  </si>
  <si>
    <t>PROGRAM-4b</t>
  </si>
  <si>
    <t>PROGRAM-4c</t>
  </si>
  <si>
    <t>PROGRAM-4d</t>
  </si>
  <si>
    <t>PROGRAM-4e</t>
  </si>
  <si>
    <t>PROGRAM-4f</t>
  </si>
  <si>
    <t>CRITICAL-1a</t>
  </si>
  <si>
    <t>CRITICAL-1b</t>
  </si>
  <si>
    <t>CRITICAL-1c</t>
  </si>
  <si>
    <t>CRITICAL-1d</t>
  </si>
  <si>
    <t>CRITICAL-1e</t>
  </si>
  <si>
    <t>CRITICAL-1f</t>
  </si>
  <si>
    <t>CRITICAL-1g</t>
  </si>
  <si>
    <t>CRITICAL-1h</t>
  </si>
  <si>
    <t>CRITICAL-2a</t>
  </si>
  <si>
    <t>CRITICAL-2b</t>
  </si>
  <si>
    <t>CRITICAL-2c</t>
  </si>
  <si>
    <t>CRITICAL-2d</t>
  </si>
  <si>
    <t>CRITICAL-2e</t>
  </si>
  <si>
    <t>CRITICAL-2f</t>
  </si>
  <si>
    <t>CRITICAL-2g</t>
  </si>
  <si>
    <t>CRITICAL-2h</t>
  </si>
  <si>
    <t>CRITICAL-2i</t>
  </si>
  <si>
    <t>CRITICAL-2j</t>
  </si>
  <si>
    <t>CRITICAL-2k</t>
  </si>
  <si>
    <t>CRITICAL-3a</t>
  </si>
  <si>
    <t>CRITICAL-3b</t>
  </si>
  <si>
    <t>CRITICAL-3c</t>
  </si>
  <si>
    <t>CRITICAL-3d</t>
  </si>
  <si>
    <t>CRITICAL-3e</t>
  </si>
  <si>
    <t>CRITICAL-3f</t>
  </si>
  <si>
    <t>CRITICAL-3g</t>
  </si>
  <si>
    <t>CRITICAL-3h</t>
  </si>
  <si>
    <t>REF</t>
  </si>
  <si>
    <t>GEN-ANSWER</t>
  </si>
  <si>
    <t>GEN-COMMENT</t>
  </si>
  <si>
    <t>GEN-LEVEL</t>
  </si>
  <si>
    <t>GEN-PRACTICE</t>
  </si>
  <si>
    <t>RISK-0</t>
  </si>
  <si>
    <t>RISK-1-0</t>
  </si>
  <si>
    <t>RISK-2-0</t>
  </si>
  <si>
    <t>Management Activities</t>
  </si>
  <si>
    <t>RISK-3-0</t>
  </si>
  <si>
    <t>Institutionalization describes the extent to which a practice or activity is ingrained in an organization’s operations. The more deeply ingrained an activity, the more likely it is that the organization will continue to perform the practice over time, the practice will be retained under times of stress, and the outcomes of the practice will be consistent, repeatable, and of high quality.</t>
  </si>
  <si>
    <t>Adequate resources (people, funding, and tools) are provided to support activities in the RISK domain</t>
  </si>
  <si>
    <t>Personnel performing activities in the RISK domain have the skills and knowledge needed to perform their assigned responsibilities</t>
  </si>
  <si>
    <t>Comment</t>
  </si>
  <si>
    <t>"Level reached"- limit</t>
  </si>
  <si>
    <t>Result must be greater than the limit [%]</t>
  </si>
  <si>
    <t>Level labels</t>
  </si>
  <si>
    <t>Management report level 1 lower limit</t>
  </si>
  <si>
    <t>result &lt; this = LEVEL 0</t>
  </si>
  <si>
    <t>Management report level 2 lower limit</t>
  </si>
  <si>
    <t>result &lt; this = LEVEL 1</t>
  </si>
  <si>
    <t>Management report level 3 lower limit</t>
  </si>
  <si>
    <t>result &lt; this = LEVEL 2, result &gt;= this  = LEVEL 3</t>
  </si>
  <si>
    <t>Answer options</t>
  </si>
  <si>
    <t>2 - Osittain toteutettu</t>
  </si>
  <si>
    <t>3 - Enimmäkseen  toteutettu</t>
  </si>
  <si>
    <t>Critical Sector</t>
  </si>
  <si>
    <t>Elintarvikehuolto</t>
  </si>
  <si>
    <t>Energiahuolto</t>
  </si>
  <si>
    <t>Logistiikka</t>
  </si>
  <si>
    <t>Terveydenhuolto</t>
  </si>
  <si>
    <t>KYBERMITTARI</t>
  </si>
  <si>
    <t>Kriittisten palveluiden ja niiden riippuvuuksien tunnistaminen</t>
  </si>
  <si>
    <t>ASSET-0</t>
  </si>
  <si>
    <t>Manage IT and OT Asset Inventory</t>
  </si>
  <si>
    <t>ASSET-1-0</t>
  </si>
  <si>
    <t>There is an inventory of IT and OT assets that are important to the delivery of the function; management of the inventory may be ad hoc</t>
  </si>
  <si>
    <t>Manage Information Asset Inventory</t>
  </si>
  <si>
    <t>ASSET-2-0</t>
  </si>
  <si>
    <t>Manage Asset Configuration</t>
  </si>
  <si>
    <t>ASSET-3-0</t>
  </si>
  <si>
    <t>Asset configurations are monitored for consistency with baselines throughout the assets’ lifecycles</t>
  </si>
  <si>
    <t>Manage Changes to Assets</t>
  </si>
  <si>
    <t>ASSET-4-0</t>
  </si>
  <si>
    <t>Changes to inventoried assets are logged, at least in an ad hoc manner</t>
  </si>
  <si>
    <t>Changes to assets are tested for cybersecurity impact prior to being deployed</t>
  </si>
  <si>
    <t>ASSET-5-0</t>
  </si>
  <si>
    <t>Adequate resources (people, funding, and tools) are provided to support activities in the ASSET domain</t>
  </si>
  <si>
    <t>Personnel performing activities in the ASSET domain have the skills and knowledge needed to perform their assigned responsibilities</t>
  </si>
  <si>
    <t>ACCESS-0</t>
  </si>
  <si>
    <t>Establish and Maintain Identities</t>
  </si>
  <si>
    <t>ACCESS-1-0</t>
  </si>
  <si>
    <t>Establishing and maintaining identities begins with the provisioning and deprovisioning (removing available identities when they are no longer required) of identities to entities. Entities may include individuals (internal or external to the organization) as well as devices, systems, or processes that require access to assets. In some cases, organizations may need to use shared identities. Management of shared identities may require compensatory measures to ensure an appropriate level of security. Maintenance of identities includes traceability (ensuring that all known identities are valid) as well as deprovisioning.</t>
  </si>
  <si>
    <t>Identities are deprovisioned, at least in an ad hoc manner, when no longer required</t>
  </si>
  <si>
    <t>Identities are deprovisioned within organization-defined time thresholds when no longer required</t>
  </si>
  <si>
    <t>ACCESS-2-0</t>
  </si>
  <si>
    <t>Anomalous access attempts are monitored as indicators of cybersecurity events</t>
  </si>
  <si>
    <t>ACCESS-3-0</t>
  </si>
  <si>
    <t>Adequate resources (people, funding, and tools) are provided to support activities in the ACCESS domain</t>
  </si>
  <si>
    <t>Personnel performing activities in the ACCESS domain have the skills and knowledge needed to perform their assigned responsibilities</t>
  </si>
  <si>
    <t>Kyberturvallisuuden kypsyystaso</t>
  </si>
  <si>
    <t>ID</t>
  </si>
  <si>
    <t>Identification of Critical Services and their dependencies</t>
  </si>
  <si>
    <t>Organization provided services that are critical to the society (critical services), have been identified and documented.</t>
  </si>
  <si>
    <t>The data needed to provide the critical services, has been mapped and documented.</t>
  </si>
  <si>
    <t>The processes needed to provide the critical services, have been mapped and documented.</t>
  </si>
  <si>
    <t>The systems (IT and OT assets) needed to provide the critical services, have been mapped and documented.</t>
  </si>
  <si>
    <t>The facilities needed to provide the critical services, have been mapped and documented.</t>
  </si>
  <si>
    <t>The supply chain needed to provide the critical services, has been mapped and documented.</t>
  </si>
  <si>
    <t>The period of time how quickly the failure of resources (data, processes, systems, facilities, supply chain) needed by critical services, would have a significant impact on the normal operation of the society, has been determined and documented.</t>
  </si>
  <si>
    <t>The cascade effects across the society of a degraded or failed critical services have been identified and documented.</t>
  </si>
  <si>
    <t>Governance of Critical Services</t>
  </si>
  <si>
    <t>Kriittisten palveluiden hallinta</t>
  </si>
  <si>
    <t>Senior-level accountability for the security of resources needed for delivering critical services, and delegate decision-making authority appropriately and effectively, should exist. Risks to network and information systems related to the delivery of critical services should be considered in the context of other organisational risks.</t>
  </si>
  <si>
    <t>All resources (data, processes, systems, facilities, supply chain) that are needed to provide the services critical to the society, are within the scope of the organization's security management policies and processes.</t>
  </si>
  <si>
    <t>All resources (data, processes, systems, facilities, supply chain) that are needed to provide the services critical to the society, are within the scope of the organization's risk management policies and processes.</t>
  </si>
  <si>
    <t>Your organisation's approach and policy relating to the security of networks and information systems supporting the delivery of  services critical to the society, are owned and managed at board level. These are communicated, in a meaningful way, to risk management decision-makers across the organisation.</t>
  </si>
  <si>
    <t>Regular board discussions on the security of network and information systems supporting the delivery of your services critical to the society take place, based on timely and accurate information and informed by expert guidance.</t>
  </si>
  <si>
    <t>There is a board-level individual who has overall accountability for the security of networks and information systems needed by the critical services and drives regular discussion at board-level.</t>
  </si>
  <si>
    <t>Direction set at board level is translated into effective organisational practices that direct and control the security of the networks and information systems supporting your critical services.</t>
  </si>
  <si>
    <t>Senior management have visibility of key risk decisions made throughout the organisation.</t>
  </si>
  <si>
    <t>Risk management decision-makers understand their responsibilities for making effective and timely decisions in the context of the risk appetite regarding the essential service, as set by senior management.</t>
  </si>
  <si>
    <t>Risk management decision-making is delegated and escalated where necessary, across the organisation, to people who have the skills, knowledge, tools, and authority they need.</t>
  </si>
  <si>
    <t>Risk management decisions are periodically reviewed to ensure their continued relevance and validity.</t>
  </si>
  <si>
    <t>The risk management process takes into account the resources (data, processes, systems, facilities, supply chain), critical period of time and cascade effects.</t>
  </si>
  <si>
    <t>Minimisation of the impact of cyber security incidents on Critical Services</t>
  </si>
  <si>
    <t>There should be well-defined and tested incident management processes in place, that aim to ensure continuity of critical services in the event of system or service failure. Mitigation activities designed to contain or limit the impact of compromise are also in place, and are scaled based on the overall risk and impact.</t>
  </si>
  <si>
    <t>Your response plan covers all of your critical services.</t>
  </si>
  <si>
    <t>Your response plan comprehensively covers scenarios that are focused on likely impacts of known and well-understood attacks only.</t>
  </si>
  <si>
    <t>Your response plan is understood by all staff who are involved with your organisation's response function</t>
  </si>
  <si>
    <t>Your response plan is documented and shared with all relevant stakeholders</t>
  </si>
  <si>
    <t>Your incident response plan is based on a clear understanding of the security risks to the networks and information systems supporting your essential service .</t>
  </si>
  <si>
    <t>Your incident response plan is comprehensive (i.e. covers the complete lifecycle of an incident, roles and responsibilities, and reporting) and covers likely impacts of both known attack patterns and of possible attacks, previously unseen.</t>
  </si>
  <si>
    <t>Your incident response plan is documented and integrated with wider organisational business and supply chain response plans.</t>
  </si>
  <si>
    <t>Your incident response plan is communicated and understood by the business areas involved with the supply or maintenance of your essential services.</t>
  </si>
  <si>
    <t>Toimiala</t>
  </si>
  <si>
    <t>2. Huomattava systeeminen vaikutus</t>
  </si>
  <si>
    <t>ARCHITECTURE-0</t>
  </si>
  <si>
    <t>Establish and Maintain Cybersecurity Architecture Strategy and Program</t>
  </si>
  <si>
    <t>ARCHITECTURE-1-0</t>
  </si>
  <si>
    <t>A strategy for cybersecurity architecture is established and maintained to support the organization’s cybersecurity program strategy (PROGRAM-1b) and enterprise architecture</t>
  </si>
  <si>
    <t>A documented cybersecurity architecture is established and maintained that includes IT and OT systems and networks and aligns with system and asset categorization and prioritization</t>
  </si>
  <si>
    <t>The cybersecurity architecture strategy and program are aligned with the organization’s enterprise architecture strategy and program</t>
  </si>
  <si>
    <t>ARCHITECTURE-2-0</t>
  </si>
  <si>
    <t>ARCHITECTURE-3-0</t>
  </si>
  <si>
    <t>Implement Data Security as an Element of the Cybersecurity Architecture</t>
  </si>
  <si>
    <t>ARCHITECTURE-4-0</t>
  </si>
  <si>
    <t>ARCHITECTURE-5-0</t>
  </si>
  <si>
    <t>Adequate resources (people, funding, and tools) are provided to support activities in the ARCHITECTURE domain</t>
  </si>
  <si>
    <t>Personnel performing activities in the ARCHITECTURE domain have the skills and knowledge needed to perform their assigned responsibilities</t>
  </si>
  <si>
    <t>PROGRAM-0</t>
  </si>
  <si>
    <t>Establish Cybersecurity Program Strategy</t>
  </si>
  <si>
    <t>Kyberturvallisuusstrategia</t>
  </si>
  <si>
    <t>PROGRAM-1-0</t>
  </si>
  <si>
    <t>The cybersecurity program strategy is established as the foundation for the program. In its simplest form, the program strategy should include a list of cybersecurity objectives and a plan to meet them. At higher levels of maturity, the program strategy will be more complete and include priorities, a governance approach, structure and organization for the program, and more involvement by senior management in the design of the program.</t>
  </si>
  <si>
    <t>The cybersecurity program strategy defines the structure and organization of the cybersecurity program</t>
  </si>
  <si>
    <t>Sponsor Cybersecurity Program</t>
  </si>
  <si>
    <t>PROGRAM-2-0</t>
  </si>
  <si>
    <t>Sponsorship is important for implementing the program in accordance with the strategy. The fundamental form of sponsorship is to provide resources (people, tools, and funding). More advanced forms of sponsorship include visible involvement by senior leaders and designation of responsibility and authority for the program. Further, sponsorship includes organizational support for establishing and implementing policies or other organizational directives to guide the program.</t>
  </si>
  <si>
    <t>Resources (people, funding, and tools) are provided, at least in an ad hoc manner, to establish the cybersecurity program</t>
  </si>
  <si>
    <t>The cybersecurity program is established according to the cybersecurity program strategy</t>
  </si>
  <si>
    <t>Adequate resources (people, funding, and tools) are provided to operate a cybersecurity program aligned with the program strategy</t>
  </si>
  <si>
    <t>Senior management sponsorship is provided for the development, maintenance, and enforcement of cybersecurity policies</t>
  </si>
  <si>
    <t>Stakeholders for cybersecurity program management activities are identified and involved</t>
  </si>
  <si>
    <t>The organization collaborates with external entities to contribute to the development and implementation of cybersecurity standards, guidelines, leading practices, lessons learned, and emerging technologies</t>
  </si>
  <si>
    <t>Address Cybersecurity in Continuity of Operations</t>
  </si>
  <si>
    <t>PROGRAM-3-0</t>
  </si>
  <si>
    <t>The assets and activities necessary to sustain minimum operations of the function are identified and documented in continuity plans</t>
  </si>
  <si>
    <t>The results of continuity plan testing or activation are compared to recovery objectives, and plans are improved accordingly</t>
  </si>
  <si>
    <t>Cybersecurity incident content within continuity plans is periodically reviewed and updated</t>
  </si>
  <si>
    <t>Continuity plans are periodically reviewed and updated</t>
  </si>
  <si>
    <t>Personnel performing activities in the PROGRAM domain have the skills and knowledge needed to perform their assigned responsibilities</t>
  </si>
  <si>
    <t>Acceptance testing of procured assets includes testing for cybersecurity requirements</t>
  </si>
  <si>
    <t>THREAT-0</t>
  </si>
  <si>
    <t>THREAT-1-0</t>
  </si>
  <si>
    <t>Threat identification and response begins with collecting useful threat information from reliable sources, interpreting that information in the context of the organization and function, and responding to threats that have the means, motive, and opportunity to affect the delivery of services. A threat profile includes characterization of likely intent, capability, and target of threats to the function. The threat profile can be used to guide the identification of specific threats, the risk analysis process described in the Risk Management domain, and the building of the operational and cyber status described in the Situational Awareness domain.</t>
  </si>
  <si>
    <t>Cybersecurity threat information is gathered and interpreted for the function, at least in an ad hoc manner</t>
  </si>
  <si>
    <t>Threat information sources that collectively address all components of the threat profile are prioritized and monitored</t>
  </si>
  <si>
    <t>Identified threats are analyzed and prioritized and are addressed accordingly</t>
  </si>
  <si>
    <t>Threat monitoring and response activities leverage and trigger predefined states of operation (SITUATION-3h)</t>
  </si>
  <si>
    <t>Reduce Cybersecurity Vulnerabilities</t>
  </si>
  <si>
    <t>THREAT-2-0</t>
  </si>
  <si>
    <t>Cybersecurity vulnerability information is gathered and interpreted for the function, at least in an ad hoc manner</t>
  </si>
  <si>
    <t>Operational impact to the function is evaluated prior to deploying patches</t>
  </si>
  <si>
    <t>Cybersecurity vulnerability assessments are performed by parties that are independent of the operations of the function</t>
  </si>
  <si>
    <t>THREAT-3-0</t>
  </si>
  <si>
    <t>Adequate resources (people, funding, and tools) are provided to support activities in the THREAT domain</t>
  </si>
  <si>
    <t>Personnel performing activities in the THREAT domain have the skills and knowledge needed to perform their assigned responsibilities</t>
  </si>
  <si>
    <t>Tilannekuva</t>
  </si>
  <si>
    <t>SITUATION-0</t>
  </si>
  <si>
    <t>Perform Logging</t>
  </si>
  <si>
    <t>SITUATION-1-0</t>
  </si>
  <si>
    <t>Logging should be enabled based on an asset’s potential impact to the function. For example, the greater the potential impact of a compromised asset, the more data an organization might collect about the asset.</t>
  </si>
  <si>
    <t>Log data are being aggregated within the function</t>
  </si>
  <si>
    <t>Perform Monitoring</t>
  </si>
  <si>
    <t>SITUATION-2-0</t>
  </si>
  <si>
    <t>Monitoring and analysis requirements are established and maintained for the function and address timely review of event data</t>
  </si>
  <si>
    <t>Establish and Maintain Situational Awareness</t>
  </si>
  <si>
    <t>SITUATION-3-0</t>
  </si>
  <si>
    <t>Effectively communicating the operational and cybersecurity status to relevant decision makers is the essence of situational awareness (sometimes referred to as a common operating picture). While many situational awareness implementations may include visualization tools (e.g., dashboards, maps, and other graphical displays), they are not necessarily required to achieve the goal.</t>
  </si>
  <si>
    <t>Methods of communicating the current state of cybersecurity for the function are established and maintained</t>
  </si>
  <si>
    <t>Monitoring data are aggregated to provide an understanding of the operational state of the function</t>
  </si>
  <si>
    <t>Relevant information from across the organization is available to enhance situational awareness</t>
  </si>
  <si>
    <t>SITUATION-4-0</t>
  </si>
  <si>
    <t>Adequate resources (people, funding, and tools) are provided to support activities in the SITUATION domain</t>
  </si>
  <si>
    <t>Personnel performing activities in the SITUATION domain have the skills and knowledge needed to perform their assigned responsibilities</t>
  </si>
  <si>
    <t>RESPONSE-0</t>
  </si>
  <si>
    <t>Detect Cybersecurity Events</t>
  </si>
  <si>
    <t>RESPONSE-1-0</t>
  </si>
  <si>
    <t>Detected cybersecurity events are reported to a specified person or role and logged, at least in an ad hoc manner</t>
  </si>
  <si>
    <t>Event information is correlated to support incident analysis by identifying patterns, trends, and other common features</t>
  </si>
  <si>
    <t>Analyze Cybersecurity Events and Declare Incidents</t>
  </si>
  <si>
    <t>RESPONSE-2-0</t>
  </si>
  <si>
    <t>Escalating cybersecurity events involves applying the criteria discussed in the Detect Cybersecurity Events objective to determine when an event should be escalated and when an incident should be declared. Both cybersecurity events and cybersecurity incidents should be managed according to a response plan. Cybersecurity events and declared incidents may trigger external obligations, including reporting to regulatory bodies or notifying customers. Correlating multiple cybersecurity events and incidents and other records may uncover systemic problems within the environment.</t>
  </si>
  <si>
    <t>Criteria for declaring cybersecurity incidents are established, at least in an ad hoc manner</t>
  </si>
  <si>
    <t>Cybersecurity events are analyzed to support the declaration of cybersecurity incidents, at least in an ad hoc manner</t>
  </si>
  <si>
    <t>Cybersecurity incidents are correlated to support the discovery of patterns, trends, and other common features</t>
  </si>
  <si>
    <t>Respond to Cybersecurity Events and Incidents</t>
  </si>
  <si>
    <t>RESPONSE-3-0</t>
  </si>
  <si>
    <t>Cybersecurity event and incident response personnel are identified and roles are assigned, at least in an ad hoc manner</t>
  </si>
  <si>
    <t>Responses to cybersecurity events and incidents are executed, at least in an ad hoc manner, to limit impact to the function and restore normal operations</t>
  </si>
  <si>
    <t>Cybersecurity event and incident response is executed according to defined plans and procedures</t>
  </si>
  <si>
    <t>Cybersecurity event and incident responses leverage and trigger predefined states of operation (SITUATION-3h)</t>
  </si>
  <si>
    <t>RESPONSE-4-0</t>
  </si>
  <si>
    <t>Adequate resources (people, funding, and tools) are provided to support activities in the RESPONSE domain</t>
  </si>
  <si>
    <t>Personnel performing activities in the RESPONSE domain have the skills and knowledge needed to perform their assigned responsibilities</t>
  </si>
  <si>
    <t>WORKFORCE-0</t>
  </si>
  <si>
    <t>Assign Cybersecurity Responsibilities</t>
  </si>
  <si>
    <t>WORKFORCE-1-0</t>
  </si>
  <si>
    <t>Cybersecurity responsibilities for the function are identified, at least in an ad hoc manner</t>
  </si>
  <si>
    <t>Cybersecurity responsibilities are assigned to specific people, at least in an ad hoc manner</t>
  </si>
  <si>
    <t>Assigned cybersecurity responsibilities are managed to ensure adequacy and redundancy of coverage, including succession planning</t>
  </si>
  <si>
    <t>Develop Cybersecurity Workforce</t>
  </si>
  <si>
    <t>WORKFORCE-2-0</t>
  </si>
  <si>
    <t>Developing the cybersecurity workforce includes training and recruiting to address identified skill gaps. For example, hiring practices should ensure that recruiters and interviewers are aware of cybersecurity workforce needs. Also, personnel (and contractors) should receive periodic security awareness training to reduce their vulnerability to social engineering and other threats. The effectiveness of training and awareness activities should be evaluated, and improvements should be made as needed.</t>
  </si>
  <si>
    <t>Cybersecurity training is made available to personnel with assigned cybersecurity responsibilities, at least in an ad hoc manner</t>
  </si>
  <si>
    <t>Training, recruiting, and retention efforts are aligned to address identified workforce gaps</t>
  </si>
  <si>
    <t>Training programs include continuing education and professional development opportunities for personnel with significant cybersecurity responsibilities</t>
  </si>
  <si>
    <t>Implement Workforce Controls</t>
  </si>
  <si>
    <t>WORKFORCE-3-0</t>
  </si>
  <si>
    <t>Personnel transfer procedures address cybersecurity</t>
  </si>
  <si>
    <t>Vetting is performed for all positions (including employees, vendors, and contractors) at a level commensurate with position risk</t>
  </si>
  <si>
    <t>A formal accountability process that includes disciplinary actions is implemented for personnel who fail to comply with established security policies and procedures</t>
  </si>
  <si>
    <t>Increase Cybersecurity Awareness</t>
  </si>
  <si>
    <t>WORKFORCE-4-0</t>
  </si>
  <si>
    <t>Cybersecurity awareness activities occur, at least in an ad hoc manner</t>
  </si>
  <si>
    <t>Cybersecurity awareness activities are aligned with the predefined states of operation (SITUATION-3h)</t>
  </si>
  <si>
    <t>WORKFORCE-5-0</t>
  </si>
  <si>
    <t>Adequate resources (people, funding, and tools) are provided to support activities in the WORKFORCE domain</t>
  </si>
  <si>
    <t>Personnel performing activities in the WORKFORCE domain have the skills and knowledge needed to perform their assigned responsibilities</t>
  </si>
  <si>
    <t>Henkilöstö (sisäinen)</t>
  </si>
  <si>
    <t>Konsultointi</t>
  </si>
  <si>
    <t>Palvelut</t>
  </si>
  <si>
    <t>Yhteensä</t>
  </si>
  <si>
    <t>Suunniteltu</t>
  </si>
  <si>
    <t>Kategoria</t>
  </si>
  <si>
    <t>Category</t>
  </si>
  <si>
    <t>Kyberturvallisuusstrategia määrittelee organisaation kyberturvallisuustavoitteet.</t>
  </si>
  <si>
    <t>Critical Service Protection</t>
  </si>
  <si>
    <t>Organisaation tuottamat yhteiskunnalle kriittiset palvelut on tunnistettu ja dokumentoitu.</t>
  </si>
  <si>
    <t>MIL</t>
  </si>
  <si>
    <t>Answer</t>
  </si>
  <si>
    <t>Suomi</t>
  </si>
  <si>
    <t>English</t>
  </si>
  <si>
    <t>Svenska</t>
  </si>
  <si>
    <t>Valitse kieli / Välj språk / Choose language</t>
  </si>
  <si>
    <t>KYBERMITTARI-0</t>
  </si>
  <si>
    <t>1. Mild systemic impact</t>
  </si>
  <si>
    <t>1. Vähäinen systeeminen vaikutus</t>
  </si>
  <si>
    <t>3. Crippling systemic impact</t>
  </si>
  <si>
    <t>3. Rampauttava systeeminen vaikutus</t>
  </si>
  <si>
    <t>Scenario</t>
  </si>
  <si>
    <t>Kyberturvallisuuden arviointityökalu</t>
  </si>
  <si>
    <t>Function</t>
  </si>
  <si>
    <t>KM50</t>
  </si>
  <si>
    <t>KM60</t>
  </si>
  <si>
    <t>KM61</t>
  </si>
  <si>
    <t>INVEST</t>
  </si>
  <si>
    <t>2. Significant systemic impact</t>
  </si>
  <si>
    <t>Exporting results</t>
  </si>
  <si>
    <t>Management report (R1)</t>
  </si>
  <si>
    <t>TotMIL</t>
  </si>
  <si>
    <t>Kokonaisarvio</t>
  </si>
  <si>
    <t>Yhteyshenkilö</t>
  </si>
  <si>
    <t>Arvioinnin vetäjä</t>
  </si>
  <si>
    <t>Toiminto</t>
  </si>
  <si>
    <t>CRITICAL-0</t>
  </si>
  <si>
    <t>CRITICAL-1-0</t>
  </si>
  <si>
    <t>CRITICAL-2-0</t>
  </si>
  <si>
    <t>CRITICAL-3-0</t>
  </si>
  <si>
    <t>Kyberturvallisuuden investointien taso</t>
  </si>
  <si>
    <t>Arviointitulosten vienti</t>
  </si>
  <si>
    <t>C_name</t>
  </si>
  <si>
    <t>C_industry</t>
  </si>
  <si>
    <t>C_function</t>
  </si>
  <si>
    <t>C_securityclass</t>
  </si>
  <si>
    <t>Yhteensä (x 1 000 €)</t>
  </si>
  <si>
    <t>Ohjelmisto-lisenssit</t>
  </si>
  <si>
    <t>Laite-investoinnit</t>
  </si>
  <si>
    <t>Tiedon luokittelu</t>
  </si>
  <si>
    <t>Finanssiala</t>
  </si>
  <si>
    <t>Elintarvike - Alkutuotanto</t>
  </si>
  <si>
    <t>Elintarvike - Elintarviketeollisuus</t>
  </si>
  <si>
    <t>Elintarvike - Kauppa ja jakelu</t>
  </si>
  <si>
    <t>Elintarvike - Muu</t>
  </si>
  <si>
    <t>Energia - Voimatalous</t>
  </si>
  <si>
    <t>Energia - Öljy</t>
  </si>
  <si>
    <t>Energia - Muu</t>
  </si>
  <si>
    <t>Finanssi - Rahoitushuolto</t>
  </si>
  <si>
    <t>Finanssi - Vakuutusala</t>
  </si>
  <si>
    <t>Finanssi - Muu</t>
  </si>
  <si>
    <t>Logistiikka - Ilmakuljetus</t>
  </si>
  <si>
    <t>Logistiikka - Maakuljetus</t>
  </si>
  <si>
    <t>Logistiikka - Vesikuljetus</t>
  </si>
  <si>
    <t>Logistiikka - Muu</t>
  </si>
  <si>
    <t>Terveys - Terveydenhuolto</t>
  </si>
  <si>
    <t>Terveys - Vesihuolto</t>
  </si>
  <si>
    <t>Terveys - Muu</t>
  </si>
  <si>
    <t>Kriit. teollisuus - Kemia</t>
  </si>
  <si>
    <t>Kriit. teollisuus - Metsä</t>
  </si>
  <si>
    <t>Kriit. teollisuus - MIL</t>
  </si>
  <si>
    <t>Kriit. teollisuus - Muovi ja kumi</t>
  </si>
  <si>
    <t>Kriit. teollisuus - Rakennus</t>
  </si>
  <si>
    <t>Kriit. teollisuus - Teknologia</t>
  </si>
  <si>
    <t>Kriit. teollisuus - Muu</t>
  </si>
  <si>
    <t>Kypsyystaso 0</t>
  </si>
  <si>
    <t>Kypsyystaso 3</t>
  </si>
  <si>
    <t>Kypsyystasolle 1 vaadittavia toimenpiteitä</t>
  </si>
  <si>
    <t>Organisaation nykytila</t>
  </si>
  <si>
    <t>Kypsyystaso 1</t>
  </si>
  <si>
    <t>Kypsyystaso 2</t>
  </si>
  <si>
    <t>Organisaation edellinen arviointi</t>
  </si>
  <si>
    <t>Organisation</t>
  </si>
  <si>
    <t>Facilitator</t>
  </si>
  <si>
    <t>Security classification</t>
  </si>
  <si>
    <t>Level of cybersecurity investments</t>
  </si>
  <si>
    <t>KM51</t>
  </si>
  <si>
    <t>KM52</t>
  </si>
  <si>
    <t>KM53</t>
  </si>
  <si>
    <t>KM54</t>
  </si>
  <si>
    <t>KM55</t>
  </si>
  <si>
    <t>KM56</t>
  </si>
  <si>
    <t>KM58</t>
  </si>
  <si>
    <t>KM59</t>
  </si>
  <si>
    <t>INVEST-10</t>
  </si>
  <si>
    <t>INVEST-01</t>
  </si>
  <si>
    <t>INVEST-02</t>
  </si>
  <si>
    <t>INVEST-03</t>
  </si>
  <si>
    <t>INVEST-04</t>
  </si>
  <si>
    <t>INVEST-05</t>
  </si>
  <si>
    <t>INVEST-06</t>
  </si>
  <si>
    <t>INVEST-07</t>
  </si>
  <si>
    <t>INVEST-08</t>
  </si>
  <si>
    <t>INVEST-09</t>
  </si>
  <si>
    <t>INVEST-11</t>
  </si>
  <si>
    <t>Personnel (internal)</t>
  </si>
  <si>
    <t>Consultancy</t>
  </si>
  <si>
    <t>Services</t>
  </si>
  <si>
    <t>Software licenses</t>
  </si>
  <si>
    <t>Hardware invest.</t>
  </si>
  <si>
    <t>Total</t>
  </si>
  <si>
    <t>Planned</t>
  </si>
  <si>
    <t>Total (x 1 000 €)</t>
  </si>
  <si>
    <t>Ref</t>
  </si>
  <si>
    <t>MIL 0</t>
  </si>
  <si>
    <t>MIL 1</t>
  </si>
  <si>
    <t>MIL 2</t>
  </si>
  <si>
    <t>MIL 3</t>
  </si>
  <si>
    <t>GEN-TOTAL</t>
  </si>
  <si>
    <t>Overall level</t>
  </si>
  <si>
    <t>Parameter</t>
  </si>
  <si>
    <t>Yhteisen operatiivisen tilannekuvan ydin on tilanteen kommunikointi olennaisille päätöksentekijöille ymmärrettävästi. Vaikka useat yhteisen operatiivisen tilannekuvan toteutukset saattavat sisältää visuaalisia elementtejä (esim. hallintapaneelit, kartat tai muut graafiset käyttöliittymät), ne eivät ole pakollisia tavoitteiden saavuttamiseksi. Organisaatiot voivat myös käyttää muita tapoja tilannekuvan viestimiseen.</t>
  </si>
  <si>
    <t>Name</t>
  </si>
  <si>
    <t>Nimi</t>
  </si>
  <si>
    <t>Sector</t>
  </si>
  <si>
    <t>Description of the function in scope of the assessment</t>
  </si>
  <si>
    <t>Kyberturvallisuuden arviointi</t>
  </si>
  <si>
    <t>Level of Cybersecurity Investment</t>
  </si>
  <si>
    <t>Organisaatio</t>
  </si>
  <si>
    <t>Cybersecurity Maturity Level</t>
  </si>
  <si>
    <t>Koulutusohjelmiin sisältyy mahdollisuus jatko- ja lisäkoulutukseen niille työntekijöille, joilla on merkittäviä kyberturvallisuuteen liittyviä vastuita.</t>
  </si>
  <si>
    <t>Sovellusturvallisuus osana kyberarkkitehtuuria</t>
  </si>
  <si>
    <t>Kyberturvallisuuden vastuiden jakaminen</t>
  </si>
  <si>
    <t>Tietoa löydetyistä haavoittuvuuksista jaetaan organisaation määrittelemille sidosryhmille.</t>
  </si>
  <si>
    <t>Yleisiä hallintatoimia</t>
  </si>
  <si>
    <t>Verkkojen segmentointi voidaan toteuttaa fyysisellä ja/tai loogisella tasolla ja sen tarkoitus on pienentää hyökkäyspinta-alaa. Optimitilanteessa jokaiselle laitteelle on perusteltu syy sen sijoittamiseen tiettyyn verkkosegmenttiin.</t>
  </si>
  <si>
    <t>PROGRAM-4g</t>
  </si>
  <si>
    <t>Adequate resources (people, funding, and tools) are provided to support activities in the PROGRAM domain</t>
  </si>
  <si>
    <t>Johdon tuki kyberturvallisuusohjelmalle</t>
  </si>
  <si>
    <t>Johdon tuki on tärkeää kyberturvallisuusohjelman jalkauttamiselle kyberturvallisuusstrategian mukaisesti. Perustasolla tuki sisältää riittävien resurssien turvaamisen (henkilöt, työkalut ja rahoitus). Kehittyneemmässä organisaatiossa tuki pitää sisällään ylimmän johdon näkyvän osallistumisen sekä vastuiden määrittelyn ja valtuutukset kyberturvallisuusohjelmalle. Lisäksi tuki kattaa organisatorisen tuen, jota vaaditaan poliitikkojen tai vastaavien ohjeistusten määrittämiseksi ja ylläpitämiseksi.</t>
  </si>
  <si>
    <t>KYBERMITTARI-10</t>
  </si>
  <si>
    <t>KYBERMITTARI-11</t>
  </si>
  <si>
    <t>KYBERMITTARI-12</t>
  </si>
  <si>
    <t>KYBERMITTARI-13</t>
  </si>
  <si>
    <t>KYBERMITTARI-14</t>
  </si>
  <si>
    <t>KYBERMITTARI-15</t>
  </si>
  <si>
    <t>KYBERMITTARI-16</t>
  </si>
  <si>
    <t>KYBERMITTARI-17</t>
  </si>
  <si>
    <t>KYBERMITTARI-20</t>
  </si>
  <si>
    <t>KYBERMITTARI-21</t>
  </si>
  <si>
    <t>KYBERMITTARI-22</t>
  </si>
  <si>
    <t>KYBERMITTARI-30</t>
  </si>
  <si>
    <t>KYBERMITTARI-31</t>
  </si>
  <si>
    <t>Cybersecurity Self-assessment Tool</t>
  </si>
  <si>
    <t>Level of cybersecurity investments (Investment-sheet)</t>
  </si>
  <si>
    <t>Kyberturvallisuuden investointien taso (Investment-välilehti)</t>
  </si>
  <si>
    <t>KYBERMITTARI-23</t>
  </si>
  <si>
    <t>Cybersecurity Assessment</t>
  </si>
  <si>
    <t>Tulokset ja vertailutiedot</t>
  </si>
  <si>
    <t>Results and reference data</t>
  </si>
  <si>
    <t>Kyberturvallisuuden osiot</t>
  </si>
  <si>
    <t>Cybersecurity domains</t>
  </si>
  <si>
    <t>KYBERMITTARI-32</t>
  </si>
  <si>
    <t>KYBERMITTARI-33</t>
  </si>
  <si>
    <t>KYBERMITTARI-34</t>
  </si>
  <si>
    <t>GEN-SEC</t>
  </si>
  <si>
    <t>Johdon kypsyysraportti (R1)</t>
  </si>
  <si>
    <t>Kybermittarin kypsyysraportti (R2)</t>
  </si>
  <si>
    <t>Cybersecurity maturity report (R2)</t>
  </si>
  <si>
    <t>Kommentti ja viittaukset</t>
  </si>
  <si>
    <t>Comments and references</t>
  </si>
  <si>
    <t>The organisation should identify its role in providing critical services to the society and manage the related risks accordingly.</t>
  </si>
  <si>
    <t xml:space="preserve">The organisation should understand its role in providing critical services for the society, what is needed to keep the services operating, and what kind of impact a failure or degradation would have. </t>
  </si>
  <si>
    <t>Organisaation tulee tunnistaa oma roolinsa yhteiskunnan kannalta kriittisten palveluiden tuottamisessa ja hallita riskejä sen mukaisesti.</t>
  </si>
  <si>
    <t>Organisaation tulee tunnistaa oma roolinsa yhteiskunnan kannalta kriittisten palveluiden tuottamisessa, tietää mitä näiden palveluiden tuottaminen vaatii ja ymmärtää millaiset vaikutukset palveluiden vikaantumisella saattaisi olla.</t>
  </si>
  <si>
    <t>Organisaation ylimmällä johdolla on näkyvyys tärkeimpiin riskipäätöksiin läpi koko organisaation.</t>
  </si>
  <si>
    <t>(Yhteiskunnalle kriittisten) palveluiden tuottamiseen tarvittava data on tunnistettu ja dokumentoitu.</t>
  </si>
  <si>
    <t>Palveluiden tuottamiseen tarvittavat prosessit on tunnistettu ja dokumentoitu.</t>
  </si>
  <si>
    <t>Palveluiden tuottamiseen tarvittavat järjestelmät (IT- ja OT-omaisuus) on tunnistettu ja dokumentoitu.</t>
  </si>
  <si>
    <t>Palveluiden tuottamiseen tarvittavat toimitusketjut on tunnistettu ja dokumentoitu.</t>
  </si>
  <si>
    <t>Palveluiden tuottamiseen tarvittavat tilat ja laitteet on tunnistettu ja dokumentoitu.</t>
  </si>
  <si>
    <t>Palvelujen heikentymisen tai keskeytymisen aiheuttamat seurannaisvaikutukset yhteiskunnalle on tunnistettu ja dokumentoitu.</t>
  </si>
  <si>
    <t>Organisaation on määrittänyt sen kriittisen ajanjakson, jonka jälkeen yhteiskunnan normaaliin toimintaan koituu huomattavaa vaikusta, mikäli kriittisten palveluiden tarvitsemat edellä luetellut resurssit (data, prosessit, järjestelmät, tilat tai toimitusketjut) eivät ole käytettävissä.</t>
  </si>
  <si>
    <t>Kaikki resurssit (data, prosessit, järjestelmät, tilat ja toimitusketjut), joita tarvitaan (yhteiskunnalle kriittisten) palveluiden tuottamiseen, ovat organisaation turvallisuuden hallinnan politiikkojen ja prosessien piirissä.</t>
  </si>
  <si>
    <t>Kaikki resurssit (data, prosessit, järjestelmät, tilat ja toimitusketjut), joita tarvitaan yhteiskunnallisesti kriittisten palvelujen tuottamiseen, ovat organisaation riskienhallinnan politiikkojen ja prosessien piirissä.</t>
  </si>
  <si>
    <t>Johtoryhmän nimetyllä jäsenellä on vastuu palveluiden tuottamiseen tarvittavien tietoverkkojen ja -järjestelmien turvallisuuden tasosta. Henkilö ohjaa johtoryhmän säännöllistä keskustelua aiheesta.</t>
  </si>
  <si>
    <t>Johtoryhmä asettaa suunnan ja tahtotilan, joista johdetaan tehokkaita toimintatapoja tietoverkkojen ja -järjestelmien turvallisuuden valvontaan ja ohjaukseen.</t>
  </si>
  <si>
    <t>Organisaation riskienhallinnan päätöksentekijöillä on vastuu tehdä tehokkaita, oikea-aikaisia ja organisaation johdon määrittämän riskinottohalukkuuden mukaisia päätöksiä palveluiden tuottamiseen tarvittaviin tietoverkkoihin ja -järjestelmiin liittyen. Henkilöt tunnistavat ja tiedostavat päätöksentekovastuunsa.</t>
  </si>
  <si>
    <t>Organisaatiolla tulee olla määritelty ja hyvin testattu kybertapahtumien ja -häiriöiden hallintaprosessi. Prosessin tarkoituksena on varmistaa kriittisten palveluiden toimintavarmuus järjestelmien tai palveluiden vikatilanteissa. Organisaation tulee myös huolehtia, että sillä on riittävät varautumistoimet vikatilanteiden vaikutusten rajaamiseksi tai pienentämiseksi ja että nämä toimet on mitoitettu suhteessa riskin ja mahdollisten vaikutusten suuruuteen.</t>
  </si>
  <si>
    <t>Riskienhallintaprosessissa ja -päätöksenteossa otetaan huomioon resurssit (data, prosessit, järjestelmät, laitteet ja toimitusketju), kriittinen ajanjakso ja seurannaisvaikutukset [kts. CRITICAL-1b-h].</t>
  </si>
  <si>
    <t>Kriittisten palveluiden kyberhäiriöiden vaikutusten minimointi</t>
  </si>
  <si>
    <t>Organisaatiolla on kybertapahtumien ja -häiriöiden hallintasuunnitelma, joka kattaa kaikki (organisaation tuottamat yhteiskunnalle kriittiset) palvelut.</t>
  </si>
  <si>
    <t>Kybertapahtumien ja -häiriöiden hallintaan osallistuva henkilöstö on sisäistänyt ja ymmärtää hallintasuunnitelman hyvin.</t>
  </si>
  <si>
    <t>Hallintasuunnitelma rajoittuu tunnettuihin hyökkäyksiin, mutta kattaa perusteellisesti näiden hyökkäysten todennäköiset vaikutukset.</t>
  </si>
  <si>
    <t>Hallintasuunnitelma on dokumentoitu ja se jaetaan kaikille relevanteille sidosryhmille.</t>
  </si>
  <si>
    <t>Hallintasuunnitelma perustuu (yhteiskunnalle kriittisten palveluiden tuottamiseen tarvittavien) tietoverkkojen ja -järjestelmien riskien perusteelliseen tunnistamiseen ja ymmärtämiseen.</t>
  </si>
  <si>
    <t>Hallintasuunnitelma on dokumentoitu ja integroitu osaksi organisaation laajempaa liiketoiminnan ja toimitusketjujen jatkuvuudenhallintaa.</t>
  </si>
  <si>
    <t>Kaikki yhteiskunnalle kriittisten palveluiden tuottamiseen osallistuvat organisaation liiketoimintayksiköt ovat saaneet ja sisäistäneet hallintasuunnitelman.</t>
  </si>
  <si>
    <t>Johtoryhmä käsittelee palveluiden tuottamiseen tarvittavien tietoverkkojen ja -järjestelmien turvallisuuden tasoa säännöllisesti; käyttäen pohjana ajantasaista ja tarkkaa tietoa sekä organisaation ammattilaisten asiantuntemusta.</t>
  </si>
  <si>
    <t>Riskienhallinnan päätöksentekoa voidaan tarvittaessa delegoida tai korottaa ("escalate") läpi koko organisaation sellaisille henkilöille, joilla on sopivat tiedot, taidot ja valtuudet päätösten tekemiseen.</t>
  </si>
  <si>
    <t>Kyberriskien hallinta tarkoittaa toimia kyberriskien tunnistamiseksi, arvioimiseksi, seuraamiseksi ja hallitsemiseksi riskienhallintatoimenpitein. Riskienhallintatoimenpiteitä ovat esimerkiksi riskin hyväksyminen, välttäminen, pienentäminen tai siirtäminen. Kyberriskien hallintaa tulee toteuttaa osana organisaation yleistä riskienhallintaa huomioiden organisaation laajemmat tavoitteet ja liiketoiminnan tarpeet. Avainasemassa on koko organisaation kattava kyberriskienhallinnan strategia, joka huomioi edellä luetellut asiat. Riskien luokittelu auttaa organisaatiota käsittelemään ja seuraamaan riskejä johdonmukaisesti. Riskien luokittelua tukee riskirekisteri (joka on listaus organisaation tunnistamista riskeistä ja riskeihin liittyvistä tiedoista). Riskirekisteri on keskeinen osa laajempaa kyberturvallisuuden hallintaa ja siihen viitataankin useassa muussakin Kybermittarin osiossa [kts. esimerkiksi osiot SITUATION tai RESPONSE].</t>
  </si>
  <si>
    <t>Toimitusketjun ja ulkoisten riippuvuuksien hallinnan osiossa arvioidaan organisaation kykyä tunnistaa ja hallita toimitusketjuihin ja kolmansiin osapuoliin liittyviä riskejä. Organisaation tulee määritellä ja ylläpitää kontrolleja, joiden avulla se hallitsee organisaation ulkopuolisista toimijoista riippuvaisten yhteiskunnalle kriittisten palveluiden kyberriskejä.</t>
  </si>
  <si>
    <t>Riippuvuuksien tunnistamiseen kuuluu, että organisaatio tunnistaa ja ymmärtää perusteellisesti (toiminnan osa-alueen toimintavarmuuden kannalta) tärkeimmät ulkoiset suhteet toimittajiin, alihankkijoihin ja muihin kolmansiin osapuoliin.</t>
  </si>
  <si>
    <t>Tilannekuvan osiossa arvioidaan organisaation kykyä määritellä ja ylläpitää organisaation kyberturvallisuuden tilannekuvaa. Organisaation tulee määritellä ja ylläpitää prosesseja ja teknisiä ratkaisuja operatiivisen ja kyberturvallisuustiedon keräämiseen, analysointiin, hälytysten nostamiseen, esittämiseen ja käyttämiseen, hyödyntäen muissa Kybermittarin osioissa mainittua informaatiota. Tilannekuva muodostetaan sekä organisaation toiminnan, että kyberturvallisuuden tasosta.</t>
  </si>
  <si>
    <t xml:space="preserve">Lokitus tulee ottaa käyttöön suojattavien kohteiden kriittisyyden perusteella. Esimerkiksi siten, että mitä suurempi potentiaalinen vaikutus vaarantuneella suojattavalla kohteella on, sitä enemmän tietoja organisaation tulisi kerätä tästä suojattavasta kohteesta. </t>
  </si>
  <si>
    <t>Organisaation tulee käyttää lokien ja muiden lähteiden kautta kerättyä tietoa saadakseen selkeän yleiskuvan operatiivisen toiminnan ja kyberturvallisuuden tilasta.</t>
  </si>
  <si>
    <t>Tapahtumien ja häiriötilanteiden hallinnan osiossa arvioidaan organisaation kykyä hallita, reagoida ja palautua kybertapahtumista ja -häiriöistä. Organisaation tulee määritellä ja ylläpitää suunnitelmia, prosesseja ja teknologiaa kyberturvallisuuteen liittyvien tapahtumien ja häiriöiden havaitsemiseksi, analysoimiseksi, niihin vastaamiseksi ja niistä palautumiseksi suhteessa sekä suojattaviin kohteisiin kohdistuviin riskeihin, että organisaation asettamiin tavoitteisiin.</t>
  </si>
  <si>
    <t>Kybertapahtumien havainnointi sisältää keskitetyn raportointikanavan tapahtumia varten sekä arviointiperusteiden määrittelyn. Arviointiperusteiden tulee noudattaa kyberriskienhallintastrategiaa, varmistaa tapahtumien johdonmukainen arviointi sekä tarjota rakenteen kybertapahtumien tunnistamiseksi, kybertapahtuman eskaloimiseksi ja tapahtuman korottaminen kyberhäiriöksi.</t>
  </si>
  <si>
    <t>Kyberhäiriöihin reagoiminen edellyttää organisaatiolta prosessia, jolla voidaan rajata kyberhäiriöiden vaikutusta muihin toimintoihin. Prosessin tulee kuvata miten organisaatio hallitsee häiriön koko elinkaarta (esim. triage, käsittely, kommunikointi, koordinointi ja sulkeminen). Saatujen kokemusten arviointi osana kybertapahtumien ja -häiriöiden hoitamista auttaa organisaatiota poistamaan haavoittuvuudet, jotka johtivat poikkeamaan.</t>
  </si>
  <si>
    <t>Henkilöstön hallinnan osiossa arvioidaan organisaation kykyä kehittää ja ylläpitää henkilöstön kyberturvallisuusosaamista ja -valmiutta. Organisaation tulee määritellä ja ylläpitää suunnitelmia, prosesseja, teknologiaa ja kontrolleja organisaation kyberturvallisuuskulttuurin luomiseksi ja sopivan ja osaavan henkilöstön takaamiseksi, suhteessa sekä suojattaviin kohteisiin kohdistuviin riskeihin, että organisaation asettamiin tavoitteisiin.</t>
  </si>
  <si>
    <t>Tärkeä osa kyberturvallisuuden vastuiden jakamista on varmistua siitä, että vastuut on katettu riittävästi ja riittävällä korvaavuudella ("redundancy"). Roolit, joihin kuuluu merkittäviä kyberturvallisuuden vastuita, on usein helppo tunnistaa, mutta roolien jatkuvuuden takaaminen voi olla haastavampaa. On äärimmäisen tärkeää määrittää konkreettiset suunnitelmat kyberturvallisuuden avainroolien (esim. pääkäyttäjien) kouluttamiseen, sijaisuuksien varmistamiseen, testauttamiseen ja arviointiin. On myös tärkeä huomioida, että kyberturvallisuuden vastuut eivät rajoitu vain perinteisiin IT-rooleihin.</t>
  </si>
  <si>
    <t>Henkilöstön hallintatoimiin kuuluvat esimerkiksi työntekijöiden taustatarkastukset (esim. turvallisuusselvitys) siten, että tarkempia selvityksiä teetetään työtehtäviin, joihin kuuluu pääsy toiminnan osa-alueen toimintavarmuuden kannalta tärkeisiin suojattaviin kohteisiin. Esimerkiksi pääkäyttäjille (joilla on tyypillisesti oikeudet tehdä muutoksia asetuksiin, muokata tai poistaa lokitietoja, luoda uusia tunnuksia tai muokata salasanoja) määritellään korkeampi riskitaso ja tehdään tarvittavat toimenpiteet järjestelmien suojaamiseksi näiden käyttäjien tahallisilta tai tahattomilta toimilta.</t>
  </si>
  <si>
    <t>Kyberturvallisuusohjelman osiossa arvioidaan organisaation kykyä hallita ja ylläpitää organisaationlaajuista kyberturvallisuusohjelmaa. Kyberturvallisuusohjelman tarkoitus on määritellä kyberturvallisuuden hallintamalli ("governance"), kyberturvallisuuden strateginen kehittäminen ja liiketoimintajohdon tuki kyberturvallisuudelle tavalla, joka on suhteessa sekä suojattaviin kohteisiin kohdistuviin riskeihin, että organisaation asettamiin tavoitteisiin nähden.</t>
  </si>
  <si>
    <t>Kyberturvallisuusstrategia toimii kyberturvallisuusohjelman perustana. Yksinkertaisimmassa muodossa, kyberturvallisuusstrategia pitää sisällään listan kyberturvallisuustavoitteista ja suunnitelman niiden saavuttamiseksi. Korkeammalla kypsyystasolla kyberturvallisuusstrategia on täydellisempi ja sisältää prioriteetit, hallintamallin kuvauksen ("governance"), kyberturvallisuusohjelman organisaatiorakenteen ja ylemmän johdon vahvemman osallistumisen ohjelmaan suunnitteluun. Kyberturvallisuusstrategia voi olla oma dokumenttinsa, mutta usein se on kirjattu osaksi organisaation kyberturvallisuuspolitiikkaa.</t>
  </si>
  <si>
    <t>The cybersecurity program strategy and priorities are documented and aligned with the organization’s strategic objectives and risk to critical infrastructure</t>
  </si>
  <si>
    <t>Current</t>
  </si>
  <si>
    <t>Domain_text</t>
  </si>
  <si>
    <t>KM70</t>
  </si>
  <si>
    <t>KM71</t>
  </si>
  <si>
    <t>KM72</t>
  </si>
  <si>
    <t>Previous</t>
  </si>
  <si>
    <t>Reference</t>
  </si>
  <si>
    <t>Referenssi</t>
  </si>
  <si>
    <t>Nykytila</t>
  </si>
  <si>
    <t>Edellinen</t>
  </si>
  <si>
    <t>Background</t>
  </si>
  <si>
    <t>MIL0</t>
  </si>
  <si>
    <t>MIL1</t>
  </si>
  <si>
    <t>MIl2</t>
  </si>
  <si>
    <t>MIL3</t>
  </si>
  <si>
    <t>Kyberuhat</t>
  </si>
  <si>
    <t>Henkilöstö</t>
  </si>
  <si>
    <t>Kriittiset
palvelut</t>
  </si>
  <si>
    <t>Riskien
hallinta</t>
  </si>
  <si>
    <t>Toimitus
ketjut</t>
  </si>
  <si>
    <t>Pääsyn
hallinta</t>
  </si>
  <si>
    <t>Kyber
häiriöt</t>
  </si>
  <si>
    <t>Kehitys
ohjelma</t>
  </si>
  <si>
    <t>Kyber
arkkitehtuuri</t>
  </si>
  <si>
    <t>Report labels</t>
  </si>
  <si>
    <t>Referenssiryhmän keskiarvo</t>
  </si>
  <si>
    <t>Report colourschema</t>
  </si>
  <si>
    <t>KM73</t>
  </si>
  <si>
    <t>Activities required for progressing to Maturity Level 1</t>
  </si>
  <si>
    <t>KM62</t>
  </si>
  <si>
    <t>Current Maturity Level</t>
  </si>
  <si>
    <t>Previous Maturity Level</t>
  </si>
  <si>
    <t>Reference Group</t>
  </si>
  <si>
    <t>KM74</t>
  </si>
  <si>
    <t>KM63</t>
  </si>
  <si>
    <t xml:space="preserve"> Following Cybersecurity Domains</t>
  </si>
  <si>
    <t xml:space="preserve"> Kyberturvallisuuden osioiden mukaisesti</t>
  </si>
  <si>
    <t>KM64</t>
  </si>
  <si>
    <t>KM65</t>
  </si>
  <si>
    <t xml:space="preserve"> Following an indicative mapping from C2M2 to NIST Framework Core</t>
  </si>
  <si>
    <t xml:space="preserve"> Perustuen suuntaa-antavaan ristiinkytkentään C2M2 ja NIST-mallien välillä</t>
  </si>
  <si>
    <t>Yksityiskohtainen NIST Cybersecurity Framework Core -raportti</t>
  </si>
  <si>
    <t>Detailed NIST Cybersecurity Framework Core report</t>
  </si>
  <si>
    <t>Nuläget</t>
  </si>
  <si>
    <t>Föregående</t>
  </si>
  <si>
    <t>Referens</t>
  </si>
  <si>
    <t>Nivå 0</t>
  </si>
  <si>
    <t>Nivå 1</t>
  </si>
  <si>
    <t>Nivå 2</t>
  </si>
  <si>
    <t>Nivå 3</t>
  </si>
  <si>
    <t>Yleisillä hallintatoimilla arvioidaan sitä, kuinka syvällisesti osion kyberturvallisuuskäytännöt ovat juurtuneet osaksi organisaation toimintaa. Mitä syvemmin käytännöt ovat osa organisaation päivittäistä tekemistä sitä todennäköisempää on, että organisaatio noudattaa niitä myös kriisitilanteissa ja ajan kuluessa. Toisin sanoen, toiminta säilyy säännöllisenä, toistettavana ja korkealaatuisena.</t>
  </si>
  <si>
    <t>Johtoryhmä vastaa organisaation lähestymistavasta ja johtotason politiikasta liittyen palveluiden tuottamiseen tarvittavien tietoverkkojen ja -järjestelmien turvallisuuteen. Organisaation riskienhallinnan päätöksentekijät pidetään tästä lähestymistavasta ja politiikoista ajan tasalla sopivin menettelyin.</t>
  </si>
  <si>
    <t>Tehdyt riskienhallintapäätökset käydään läpi aika ajoin, jotta varmistutaan siitä, että ne ovat pysyneet relevantteina ja pätevinä.</t>
  </si>
  <si>
    <t>Hallintasuunnitelma kattaa perusteellisesti sekä tunnettujen hyökkäysten, että toistaiseksi tuntemattomien hyökkäysten todennäköiset vaikutukset. Suunnitelma kattaa perusteellisesti häiriön koko elinkaaren, roolit ja vastuut sekä raportointivelvoitteet.</t>
  </si>
  <si>
    <t>Riippuvuusriskien hallinta sisältää hallintatoimenpiteitä kuten riippumatonta testausta, koodikatselmointeja, haavoittuvuusskannauksia tai turvallisen ohjelmistokehityksen vaatimuksia. Toimittajien, alihankkijoiden ja muiden kolmansien osapuolten kanssa solmitut sopimukset tuotteista ja palveluista tulee tarkastaa ja hyväksyttää kyberriskien hallinnan näkökulmasta. Sopimuksissa voidaan esimerkiksi velvoittaa toimittajia noudattamaan tiettyjä kyberturvallisuusstandardeja, -ohjeistuksia tai -vaatimuksia ja edellyttää, että toimittaja täyttää (tai ylittää) nuo vaatimukset. Palvelutasosopimuksissa ("service level agreement, SLA") voidaan asettaa valvonta- ja auditointivaatimukset varmistamaan, että toimittajat ja palvelut täyttävät niille asetetut kyberturvallisuus- ja toimintakykyvaatimukset.</t>
  </si>
  <si>
    <t>Riskienhallinnan osiossa arvioidaan organisaation kykyä tunnistaa ja hallita toimintaansa kohdistuvia kyberturvallisuusriskejä (eli kyberriskejä). Organisaation tulee luoda ja ylläpitää koko organisaation kattavaa riskienhallintaohjelmaa tunnistaakseen, arvioidakseen ja hallitakseen kyberriskejä. Riskienhallintaohjelman tulee kattaa kaikki organisaation liiketoimintayksiköt, tytäryhtiöt, toiminnan kannalta kriittisen infrastruktuurin ja tärkeimmät sidosryhmät).</t>
  </si>
  <si>
    <t>Kybertietoisuuden lisääminen on yhtä tärkeää organisaation kyberturvallisuuden parantamiseksi kuin teknisten kontrollien toteuttaminen. Organisaatioon kohdistuva kyberhyökkäys alkaa usein hankkimalla jalansija organisaation IT- tai OT-järjestelmiin. Hyökkääjä voi esimerkiksi ujuttaa organisaation verkkoon haitallisia tiedostoja tai laitteita varomattoman työntekijän tai alihankkijan avulla. Organisaation tulee jakaa tietoa organisaation sisällä, jotta henkilöstö osaisi paremmin tunnistaa epäilyttävän toiminnan, roskapostin tai tietojenkalastelun tunnistamiseksi ja tunnistaisi miten välttää jakamasta organisaation luottamuksellisia tietoja mahdolliselle hyökkääjälle. Tietoa toimialan uusimmista uhkista ja haavoittuvuuksista voidaan jakaa esimerkiksi organisaation sisäisten verkkosivujen kautta. Mikäli mitään tietoa uhkista, haavoittuvuuksista tai parhaista käytännöistä ei jaeta organisaatiossa saattaa turvallisuuskäytäntöjen ja turvallisten toimintatapojen noudattaminen alkaa lipsua organisaatiossa.</t>
  </si>
  <si>
    <t>Values entered into this table are presented in the automated reports</t>
  </si>
  <si>
    <t>Tähän taulukkoon syötetyt vertailutiedot esitetään raporteissa.</t>
  </si>
  <si>
    <t>Worksheet general parameters.</t>
  </si>
  <si>
    <t>Parameter area</t>
  </si>
  <si>
    <t>INV-CRITICAL</t>
  </si>
  <si>
    <t>INV-RISK</t>
  </si>
  <si>
    <t>INV-DEPENDENCIES</t>
  </si>
  <si>
    <t>INV-ASSET</t>
  </si>
  <si>
    <t>INV-ACCESS</t>
  </si>
  <si>
    <t>INV-THREAT</t>
  </si>
  <si>
    <t>INV-SITUATION</t>
  </si>
  <si>
    <t>INV-RESPONSE</t>
  </si>
  <si>
    <t>INV-WORKFORCE</t>
  </si>
  <si>
    <t>INV-ARCHITECTURE</t>
  </si>
  <si>
    <t>INV-PROGRAM</t>
  </si>
  <si>
    <t>INVPLAN-CRITICAL</t>
  </si>
  <si>
    <t>INVPLAN-RISK</t>
  </si>
  <si>
    <t>INVPLAN-DEPENDENCIES</t>
  </si>
  <si>
    <t>INVPLAN-ASSET</t>
  </si>
  <si>
    <t>INVPLAN-ACCESS</t>
  </si>
  <si>
    <t>INVPLAN-THREAT</t>
  </si>
  <si>
    <t>INVPLAN-SITUATION</t>
  </si>
  <si>
    <t>INVPLAN-RESPONSE</t>
  </si>
  <si>
    <t>INVPLAN-WORKFORCE</t>
  </si>
  <si>
    <t>INVPLAN-ARCHITECTURE</t>
  </si>
  <si>
    <t>INVPLAN-PROGRAM</t>
  </si>
  <si>
    <t>Energy</t>
  </si>
  <si>
    <t>Logistics</t>
  </si>
  <si>
    <t>Food and Agriculture</t>
  </si>
  <si>
    <t>Financial Services</t>
  </si>
  <si>
    <t>Healthcare and Publich Health</t>
  </si>
  <si>
    <t>Energiförsörjning</t>
  </si>
  <si>
    <t>Logistik</t>
  </si>
  <si>
    <t>Report domains</t>
  </si>
  <si>
    <t>aggr</t>
  </si>
  <si>
    <t>1) First Show the Developer-tab:
- On the File tab, go to Options -&gt; Customize Ribbon.
- Under Customize the Ribbon and under Main Tabs, select the Developer check box.
2) Once the Developer-tab is visible, Export the results:
- Click Developer -&gt; Export.
- Save the .xml file using the name of your choice.</t>
  </si>
  <si>
    <t>1) Aseta Kehitystyökalut-valikko näkyville:
- Valitse Tiedosto -välilehdessä Asetukset -&gt; Mukauta valinta nauhaa;
- Valitse Mukauta valintanauhaa -alueen Päävälilehdet-kohdasta Kehitystyökalut-valintaruutu;
2) Vie tulokset työkalusta .xml-muodossa
- Valitse ylävalikosta Kehitystyökalut -&gt; Vie.
- Tallenna .xml-tiedosto haluamallasi tiedostonimellä.</t>
  </si>
  <si>
    <t>Quick guide for exporting results (Microsoft Office Excel 2016)</t>
  </si>
  <si>
    <t>Pikaohjeet tulosten vientiin (Microsoft Office Excel 2016)</t>
  </si>
  <si>
    <t>2 - Partiellt implementerad</t>
  </si>
  <si>
    <t>3 - Mestadels implementerad</t>
  </si>
  <si>
    <t>4 - Helt implementerad</t>
  </si>
  <si>
    <t>Livsmedelsförsörjning</t>
  </si>
  <si>
    <t>Finansbranschen</t>
  </si>
  <si>
    <t>Hälso- och sjukvård</t>
  </si>
  <si>
    <t>Livsmedel - Primärproduktion</t>
  </si>
  <si>
    <t>Livsmedel - Livsmedelsindustri</t>
  </si>
  <si>
    <t>Livsmedel - Handel och distribution</t>
  </si>
  <si>
    <t>Livsmedel - Övrig</t>
  </si>
  <si>
    <t>Energi - Kraftekonomi</t>
  </si>
  <si>
    <t>Energi - Olja</t>
  </si>
  <si>
    <t>Energi - Övrig</t>
  </si>
  <si>
    <t>Finans - Finansiell service</t>
  </si>
  <si>
    <t>Finans - Försäkringsbranschen</t>
  </si>
  <si>
    <t>Finans - Övrig</t>
  </si>
  <si>
    <t>Industri - Kemi</t>
  </si>
  <si>
    <t>Industri - Skog</t>
  </si>
  <si>
    <t>Industri - MIL</t>
  </si>
  <si>
    <t>Industri - Plast och gummi</t>
  </si>
  <si>
    <t>Industri - Bygg</t>
  </si>
  <si>
    <t>Industri - Teknik</t>
  </si>
  <si>
    <t>Industri - Övrig</t>
  </si>
  <si>
    <t>Logistik - Lufttransporter</t>
  </si>
  <si>
    <t>Logistik - Landtransporter</t>
  </si>
  <si>
    <t>Logistik - Sjötransporter</t>
  </si>
  <si>
    <t>Logistik - Övrig</t>
  </si>
  <si>
    <t>Hälso - Hälso- och sjukvård</t>
  </si>
  <si>
    <t>Hälso - Vattenförsörjning</t>
  </si>
  <si>
    <t>Hälso - Övrig</t>
  </si>
  <si>
    <t>Energy - Power</t>
  </si>
  <si>
    <t>Energy - Oil</t>
  </si>
  <si>
    <t>Energy - Other</t>
  </si>
  <si>
    <t>Finance - Financial Services</t>
  </si>
  <si>
    <t>Finance - Insurance</t>
  </si>
  <si>
    <t>Finance - Other</t>
  </si>
  <si>
    <t>Critical Manufacturing - Chemistry</t>
  </si>
  <si>
    <t>Critical Manufacturing - Forestry</t>
  </si>
  <si>
    <t>Critical Manufacturing - Military</t>
  </si>
  <si>
    <t>Critical Manufacturing - Plastic and rubber</t>
  </si>
  <si>
    <t>Critical Manufacturing - Construction</t>
  </si>
  <si>
    <t>Critical Manufacturing - Technology</t>
  </si>
  <si>
    <t>Critical Manufacturing - Other</t>
  </si>
  <si>
    <t>Logistics - Air transport</t>
  </si>
  <si>
    <t>Logistics - Ground transport</t>
  </si>
  <si>
    <t>Logistics - Sea transport</t>
  </si>
  <si>
    <t>Logistics - Other</t>
  </si>
  <si>
    <t>Public health - Healthcare</t>
  </si>
  <si>
    <t>Public health - Water and waste</t>
  </si>
  <si>
    <t>Public health - Other</t>
  </si>
  <si>
    <t>Food and Agriculture - Agriculture</t>
  </si>
  <si>
    <t>Food and Agriculture - Foodstuff</t>
  </si>
  <si>
    <t>Food and Agriculture - Trade and distribution</t>
  </si>
  <si>
    <t>Food and Agriculture - Other</t>
  </si>
  <si>
    <t>NB! Blue colour text is used intentionally for the formatting of reports.</t>
  </si>
  <si>
    <t>1. Små systemiska verkningar</t>
  </si>
  <si>
    <t>2. Stora systemiska verkningar</t>
  </si>
  <si>
    <t>3. Förlamande systemiska verkningar</t>
  </si>
  <si>
    <t>ASSET-1g</t>
  </si>
  <si>
    <t>ASSET-1h</t>
  </si>
  <si>
    <t>ASSET-1i</t>
  </si>
  <si>
    <t>ASSET-2g</t>
  </si>
  <si>
    <t>ASSET-2h</t>
  </si>
  <si>
    <t>ASSET-2i</t>
  </si>
  <si>
    <t>RISK-2f</t>
  </si>
  <si>
    <t>RISK-2g</t>
  </si>
  <si>
    <t>RISK-2h</t>
  </si>
  <si>
    <t>RISK-2i</t>
  </si>
  <si>
    <t>RISK-2j</t>
  </si>
  <si>
    <t>RISK-2k</t>
  </si>
  <si>
    <t>RISK-2l</t>
  </si>
  <si>
    <t>RISK-2m</t>
  </si>
  <si>
    <t>RISK-4a</t>
  </si>
  <si>
    <t>RISK-4b</t>
  </si>
  <si>
    <t>RISK-4c</t>
  </si>
  <si>
    <t>RISK-4d</t>
  </si>
  <si>
    <t>RISK-4e</t>
  </si>
  <si>
    <t>RISK-5a</t>
  </si>
  <si>
    <t>RISK-5b</t>
  </si>
  <si>
    <t>RISK-5c</t>
  </si>
  <si>
    <t>RISK-5d</t>
  </si>
  <si>
    <t>RISK-5e</t>
  </si>
  <si>
    <t>RISK-5f</t>
  </si>
  <si>
    <t>ACCESS-2i</t>
  </si>
  <si>
    <t>ACCESS-3h</t>
  </si>
  <si>
    <t>ACCESS-3i</t>
  </si>
  <si>
    <t>ACCESS-4a</t>
  </si>
  <si>
    <t>ACCESS-4b</t>
  </si>
  <si>
    <t>ACCESS-4c</t>
  </si>
  <si>
    <t>ACCESS-4d</t>
  </si>
  <si>
    <t>ACCESS-4e</t>
  </si>
  <si>
    <t>ACCESS-4f</t>
  </si>
  <si>
    <t>SITUATION-1e</t>
  </si>
  <si>
    <t>RESPONSE-3k</t>
  </si>
  <si>
    <t>RESPONSE-4h</t>
  </si>
  <si>
    <t>RESPONSE-4i</t>
  </si>
  <si>
    <t>RESPONSE-4j</t>
  </si>
  <si>
    <t>RESPONSE-4k</t>
  </si>
  <si>
    <t>RESPONSE-4l</t>
  </si>
  <si>
    <t>RESPONSE-4m</t>
  </si>
  <si>
    <t>RESPONSE-4n</t>
  </si>
  <si>
    <t>RESPONSE-4o</t>
  </si>
  <si>
    <t>RESPONSE-4p</t>
  </si>
  <si>
    <t>RESPONSE-4q</t>
  </si>
  <si>
    <t>RESPONSE-5a</t>
  </si>
  <si>
    <t>RESPONSE-5b</t>
  </si>
  <si>
    <t>RESPONSE-5c</t>
  </si>
  <si>
    <t>RESPONSE-5d</t>
  </si>
  <si>
    <t>RESPONSE-5e</t>
  </si>
  <si>
    <t>RESPONSE-5f</t>
  </si>
  <si>
    <t>WORKFORCE-3g</t>
  </si>
  <si>
    <t>ARCHITECTURE-1j</t>
  </si>
  <si>
    <t>ARCHITECTURE-2d</t>
  </si>
  <si>
    <t>ARCHITECTURE-2e</t>
  </si>
  <si>
    <t>ARCHITECTURE-2f</t>
  </si>
  <si>
    <t>ARCHITECTURE-2g</t>
  </si>
  <si>
    <t>ARCHITECTURE-2h</t>
  </si>
  <si>
    <t>ARCHITECTURE-2i</t>
  </si>
  <si>
    <t>ARCHITECTURE-2j</t>
  </si>
  <si>
    <t>ARCHITECTURE-2k</t>
  </si>
  <si>
    <t>ARCHITECTURE-2l</t>
  </si>
  <si>
    <t>ARCHITECTURE-3e</t>
  </si>
  <si>
    <t>ARCHITECTURE-3f</t>
  </si>
  <si>
    <t>ARCHITECTURE-3g</t>
  </si>
  <si>
    <t>ARCHITECTURE-3h</t>
  </si>
  <si>
    <t>ARCHITECTURE-3i</t>
  </si>
  <si>
    <t>ARCHITECTURE-3j</t>
  </si>
  <si>
    <t>ARCHITECTURE-5h</t>
  </si>
  <si>
    <t>ARCHITECTURE-6a</t>
  </si>
  <si>
    <t>ARCHITECTURE-6b</t>
  </si>
  <si>
    <t>ARCHITECTURE-6c</t>
  </si>
  <si>
    <t>ARCHITECTURE-6d</t>
  </si>
  <si>
    <t>ARCHITECTURE-6e</t>
  </si>
  <si>
    <t>ARCHITECTURE-6f</t>
  </si>
  <si>
    <t>RISK-4</t>
  </si>
  <si>
    <t>RISK-5</t>
  </si>
  <si>
    <t>ACCESS-4</t>
  </si>
  <si>
    <t>4j</t>
  </si>
  <si>
    <t>4k</t>
  </si>
  <si>
    <t>4l</t>
  </si>
  <si>
    <t>4m</t>
  </si>
  <si>
    <t>4n</t>
  </si>
  <si>
    <t>4o</t>
  </si>
  <si>
    <t>4p</t>
  </si>
  <si>
    <t>4q</t>
  </si>
  <si>
    <t>RESPONSE-5</t>
  </si>
  <si>
    <t>5h</t>
  </si>
  <si>
    <t>ARCHITECTURE-6</t>
  </si>
  <si>
    <t>6a</t>
  </si>
  <si>
    <t>6b</t>
  </si>
  <si>
    <t>6c</t>
  </si>
  <si>
    <t>6d</t>
  </si>
  <si>
    <t>6e</t>
  </si>
  <si>
    <t>6f</t>
  </si>
  <si>
    <t>THIRDPARTY-1</t>
  </si>
  <si>
    <t>THIRDPARTY-1a</t>
  </si>
  <si>
    <t>THIRDPARTY-1b</t>
  </si>
  <si>
    <t>THIRDPARTY-1c</t>
  </si>
  <si>
    <t>THIRDPARTY-1d</t>
  </si>
  <si>
    <t>THIRDPARTY-1e</t>
  </si>
  <si>
    <t>THIRDPARTY-2</t>
  </si>
  <si>
    <t>THIRDPARTY-2a</t>
  </si>
  <si>
    <t>THIRDPARTY-2b</t>
  </si>
  <si>
    <t>THIRDPARTY-2c</t>
  </si>
  <si>
    <t>THIRDPARTY-2d</t>
  </si>
  <si>
    <t>THIRDPARTY-2e</t>
  </si>
  <si>
    <t>THIRDPARTY-2f</t>
  </si>
  <si>
    <t>THIRDPARTY-2g</t>
  </si>
  <si>
    <t>THIRDPARTY-2h</t>
  </si>
  <si>
    <t>THIRDPARTY-2i</t>
  </si>
  <si>
    <t>THIRDPARTY-2j</t>
  </si>
  <si>
    <t>THIRDPARTY-2k</t>
  </si>
  <si>
    <t>THIRDPARTY-3a</t>
  </si>
  <si>
    <t>THIRDPARTY-3b</t>
  </si>
  <si>
    <t>THIRDPARTY-3c</t>
  </si>
  <si>
    <t>THIRDPARTY-3d</t>
  </si>
  <si>
    <t>THIRDPARTY-3e</t>
  </si>
  <si>
    <t>THIRDPARTY-3f</t>
  </si>
  <si>
    <t>THIRDPARTY</t>
  </si>
  <si>
    <t>THIRDPARTY-3</t>
  </si>
  <si>
    <t>Asset, Change, and Configuration Management (ASSET)</t>
  </si>
  <si>
    <t>The IT and OT asset inventory includes assets within the function that may be leveraged to achieve a threat objective</t>
  </si>
  <si>
    <t>The IT and OT inventory includes attributes that support cybersecurity activities (for example, location, asset priority, operating system and firmware versions)</t>
  </si>
  <si>
    <t>Inventoried IT and OT assets are prioritized based on defined criteria that include importance to the delivery of the function</t>
  </si>
  <si>
    <t>Prioritization criteria include consideration of assets within the function that may be leveraged to achieve a threat objective</t>
  </si>
  <si>
    <t>The IT and OT asset inventory is complete (the inventory includes all assets used for the delivery of the function)</t>
  </si>
  <si>
    <t>The IT and OT asset inventory is current, that is, it is updated periodically and according to defined triggers, such as system changes</t>
  </si>
  <si>
    <t>The IT and OT asset inventory is used to identify cyber risks, such as asset end of life or end of support and single points of failure</t>
  </si>
  <si>
    <t>Data is destroyed or securely removed from IT and OT assets prior to redeployment and at end of life</t>
  </si>
  <si>
    <t>There is an inventory of information assets that are important to the delivery of the function (for example, SCADA set points and customer information); management of the inventory may be ad hoc</t>
  </si>
  <si>
    <t>The information asset inventory includes information assets within the function that may be leveraged to achieve a threat objective</t>
  </si>
  <si>
    <t>The information asset inventory includes attributes that support cybersecurity activities (for example, backup locations and frequencies, storage locations, cybersecurity requirements)</t>
  </si>
  <si>
    <t>Inventoried information assets are categorized based on a defined scheme that includes importance to the delivery of the function</t>
  </si>
  <si>
    <t>Categorization criteria include consideration of assets within the function that may be leveraged to achieve a threat objective</t>
  </si>
  <si>
    <t>The information asset inventory is complete (the inventory includes all assets used for the delivery of the function)</t>
  </si>
  <si>
    <t>The information asset inventory is current, that is, it is updated periodically and according to defined triggers, such as system changes</t>
  </si>
  <si>
    <t>The information asset inventory is used to identify cyber risks, such as risk of disclosure, risk of destruction, and risk of tampering</t>
  </si>
  <si>
    <t>Information assets are sanitized or destroyed at the end of life using techniques appropriate to their cybersecurity requirements</t>
  </si>
  <si>
    <t>Configuration baselines are established, at least in an ad hoc manner</t>
  </si>
  <si>
    <t>Configuration baselines are used to configure assets at deployment and restoration</t>
  </si>
  <si>
    <t>The design of configuration baselines includes cybersecurity objectives</t>
  </si>
  <si>
    <t>Configuration baselines incorporate applicable requirements from the cybersecurity architecture (ARCHITECTURE-1e)</t>
  </si>
  <si>
    <t>Configuration baselines are reviewed and updated periodically and according to defined triggers, such as system changes and changes to the cybersecurity architecture</t>
  </si>
  <si>
    <t>Changes to inventoried assets are evaluated and approved before being implemented, at least in an ad hoc manner</t>
  </si>
  <si>
    <t>Changes to assets are tested prior to being deployed</t>
  </si>
  <si>
    <t>Change management practices address the full lifecycle of assets (for example, acquisition, deployment, operation, retirement)</t>
  </si>
  <si>
    <t xml:space="preserve">Change logs include information about modifications that impact the cybersecurity requirements of assets </t>
  </si>
  <si>
    <t>Documented procedures are established, followed, and maintained for activities in the ASSET domain</t>
  </si>
  <si>
    <t>Up-to-date policies or other organizational directives define requirements for activities in the ASSET domain</t>
  </si>
  <si>
    <t>Responsibility, accountability, and authority for the performance of activities in the ASSET domain are assigned to personnel</t>
  </si>
  <si>
    <t>The effectiveness of activities in the ASSET domain is evaluated and tracked</t>
  </si>
  <si>
    <t>Threat and Vulnerability Management (THREAT)</t>
  </si>
  <si>
    <t>Information sources to support cybersecurity vulnerability discovery are identified, at least in an ad hoc manner</t>
  </si>
  <si>
    <t>Cybersecurity vulnerability assessments are performed, at least in an ad hoc manner</t>
  </si>
  <si>
    <t>Cybersecurity vulnerabilities that are relevant to the delivery of the function are mitigated, at least in an ad hoc manner</t>
  </si>
  <si>
    <t>Cybersecurity vulnerability information sources that collectively address higher priority assets are monitored (ASSET-1d)</t>
  </si>
  <si>
    <t>Cybersecurity vulnerability assessments are performed periodically and according to defined triggers, such as system changes and external events</t>
  </si>
  <si>
    <t>Identified cybersecurity vulnerabilities are analyzed and prioritized, and are addressed accordingly</t>
  </si>
  <si>
    <t>Information on any discovered cybersecurity vulnerabilities is shared with organizationdefined stakeholders</t>
  </si>
  <si>
    <t>Identified vulnerabilities that pose ongoing risk to the function are referred to the risk management program for response</t>
  </si>
  <si>
    <t>Vulnerability monitoring activities include review and confirmation of actions taken in response to cybersecurity vulnerabilities where appropriate</t>
  </si>
  <si>
    <t>Internal and external information sources to support threat management activities are identified, at least in an ad hoc manner</t>
  </si>
  <si>
    <t>Threats that are relevant to the delivery of the function are addressed, at least in an ad hoc manner</t>
  </si>
  <si>
    <t>A threat profile for the function is established (for example, characterization of potential threat actors, motives, intent, capabilities, and targets)</t>
  </si>
  <si>
    <t>Threat information is exchanged with stakeholders (for example, government, connected organizations, vendors, sector organizations, regulators, Information Sharing and Analysis Centers [ISACs], internal entities) based on risk to critical infrastructure</t>
  </si>
  <si>
    <t>The threat profile for the function is updated periodically and according to defined triggers, such as system changes and external events</t>
  </si>
  <si>
    <t>Threats that pose ongoing risk to the function are referred to the risk management program for action</t>
  </si>
  <si>
    <t>Secure, near-real-time methods are used for receiving and sharing threat information to enable rapid analysis and action</t>
  </si>
  <si>
    <t>Documented procedures are established, followed, and maintained for activities in the THREAT domain</t>
  </si>
  <si>
    <t>Up-to-date policies or other organizational directives define requirements for activities in the THREAT domain</t>
  </si>
  <si>
    <t>Responsibility, accountability, and authority for the performance of activities in the THREAT domain are assigned to personnel</t>
  </si>
  <si>
    <t>The effectiveness of activities in the THREAT domain is evaluated and tracked</t>
  </si>
  <si>
    <t>Risk Management (RISK)</t>
  </si>
  <si>
    <t>The organization has a strategy for cyber risk management, which may be developed and managed in an ad hoc manner</t>
  </si>
  <si>
    <t>A strategy for cyber risk management is established and maintained to support the organization’s cybersecurity program strategy (PROGRAM-1b) and enterprise architecture</t>
  </si>
  <si>
    <t>Information from RISK domain activities is communicated to relevant stakeholders</t>
  </si>
  <si>
    <t>Governance for the cyber risk management program is established and maintained</t>
  </si>
  <si>
    <t>A cyber risk management program is established and maintained to implement and perform activities in the RISK domain in alignment with the organization’s mission and objectives</t>
  </si>
  <si>
    <t>The cyber risk strategy and program activities are coordinated with the organization’s enterprise-wide risk management strategy and program</t>
  </si>
  <si>
    <t>Cyber risks are identified, at least in an ad hoc manner</t>
  </si>
  <si>
    <t>Identified cyber risks are consolidated into categories (for example, data breaches, insider mistakes, ransomware, OT control takeover) to facilitate management at the category level</t>
  </si>
  <si>
    <t>Cyber risk identification leverages multiple risk identification techniques and information sources</t>
  </si>
  <si>
    <t>Stakeholders from appropriate operations and business areas participate in the identification of cyber risks</t>
  </si>
  <si>
    <t>Cyber risk categories and cyber risks are documented in a risk register or other artifact</t>
  </si>
  <si>
    <t>Cyber risk categories and cyber risks are assigned to risk owners</t>
  </si>
  <si>
    <t>Cyber risk identification activities are performed periodically and according to defined triggers, such as system changes and external events</t>
  </si>
  <si>
    <t>Cyber risk identification activities leverage asset inventory and prioritization information from the ASSET domain</t>
  </si>
  <si>
    <t>Vulnerability management information from THREAT domain activities is used to update cyber risks and identify new risks (such as risks arising from new or unmitigated vulnerabilities)</t>
  </si>
  <si>
    <t>Threat management information from THREAT domain activities is used to update cyber risks and identify new risks</t>
  </si>
  <si>
    <t>Information from THIRD-PARTIES domain activities is used to update cyber risks and identify new risks</t>
  </si>
  <si>
    <t>Conformance gaps between as built systems and networks and the cybersecurity architecture are used to update cyber risks and identify new risks (ARCHITECTURE-1h)</t>
  </si>
  <si>
    <t>Cyber risk identification considers risks that may arise from or impact critical infrastructure or other interconnected organizations</t>
  </si>
  <si>
    <t>Cyber risks are prioritized based on estimated impact, at least in an ad hoc manner</t>
  </si>
  <si>
    <t>Defined criteria are used to prioritize cyber risk categories and cyber risks (for example, impact, likelihood, susceptibility, risk tolerance)</t>
  </si>
  <si>
    <t>A defined method is used to estimate impact for higher priority cyber risk categories and cyber risks (for example, comparison to actual events, risk quantification)</t>
  </si>
  <si>
    <t>Defined methods are used to analyze higher priority cyber risk categories and cyber risks (for example, analyzing the prevalence of types of attacks to estimate likelihood, using the results of controls assessments to estimate susceptibility)</t>
  </si>
  <si>
    <t>Organizational stakeholders from appropriate operations and business functions support the analysis of higher priority cyber risk categories and cyber risks</t>
  </si>
  <si>
    <t>Cyber risk categories and cyber risks are retired when they no longer require tracking or response</t>
  </si>
  <si>
    <t>Cyber risk analyses are updated periodically and according to defined triggers, such as system changes and external events</t>
  </si>
  <si>
    <t>Risk responses (such as mitigate, accept, avoid, or transfer) are implemented to address cyber risk categories and cyber risks, at least in an ad hoc manner</t>
  </si>
  <si>
    <t>A defined method is used to select and implement risk responses based on analysis and prioritization</t>
  </si>
  <si>
    <t>Cybersecurity controls are evaluated to determine whether they are designed appropriately and are operating as intended to mitigate identified cyber risks</t>
  </si>
  <si>
    <t>Results from cyber risk impact analyses and cybersecurity control evaluations are reviewed together by enterprise leadership to determine whether cyber risks are sufficiently mitigated and risk tolerances are not exceeded</t>
  </si>
  <si>
    <t>Risk responses (such as mitigate, accept, avoid, or transfer) are reviewed periodically by leadership to determine whether they are still appropriate</t>
  </si>
  <si>
    <t>Documented procedures are established, followed, and maintained for activities in the RISK domain</t>
  </si>
  <si>
    <t>Up-to-date policies or other organizational directives define requirements for activities in the RISK domain</t>
  </si>
  <si>
    <t>Responsibility, accountability, and authority for the performance of activities in the RISK domain are assigned to personnel</t>
  </si>
  <si>
    <t>The effectiveness of activities in the RISK domain is evaluated and tracked</t>
  </si>
  <si>
    <t>Identity and Access Management (ACCESS)</t>
  </si>
  <si>
    <t>Identities are provisioned, at least in an ad hoc manner, for personnel and other entities such as services and devices that require access to assets (note that this does not preclude shared identities)</t>
  </si>
  <si>
    <t>Credentials (such as passwords, smartcards, certificates, and keys) are issued for personnel and other entities that require access to assets, at least in an ad hoc manner</t>
  </si>
  <si>
    <t>Identity repositories are reviewed and updated to ensure accuracy, periodically and according to defined triggers, such as system changes and changes to organizational structure</t>
  </si>
  <si>
    <t>Stronger or multifactor credentials are required for access that poses higher risk to the function (such as privileged accounts, service accounts, shared accounts, and remote access)</t>
  </si>
  <si>
    <t>Logical access controls are implemented, at least in an ad hoc manner</t>
  </si>
  <si>
    <t>Logical access is revoked when no longer needed, at least in an ad hoc manner</t>
  </si>
  <si>
    <t>Logical access requirements are determined (for example, rules for which types of entities are allowed to access an asset, limits of allowed access, constraints on remote access, authentication parameters)</t>
  </si>
  <si>
    <t>Logical access requirements incorporate the principle of least privilege</t>
  </si>
  <si>
    <t>Logical access requirements incorporate separation of duties</t>
  </si>
  <si>
    <t>Logical access requests are reviewed and approved by the asset owner</t>
  </si>
  <si>
    <t>Logical access that poses higher risk to the function receives additional scrutiny and monitoring</t>
  </si>
  <si>
    <t>Logical access privileges are reviewed and updated to ensure conformance with access requirements periodically and according to defined triggers, such as changes to organizational structure, and after any temporary elevation of privileges</t>
  </si>
  <si>
    <t>Physical access controls (such as fences, locks, and signage) are implemented, at least in an ad hoc manner</t>
  </si>
  <si>
    <t>Physical access is revoked when no longer needed, at least in an ad hoc manner</t>
  </si>
  <si>
    <t>Physical access logs are maintained, at least in an ad hoc manner</t>
  </si>
  <si>
    <t>Physical access requirements are determined (for example, rules for who is allowed to access an asset, how access is granted, limits of allowed access)</t>
  </si>
  <si>
    <t>Physical access requirements incorporate the principle of least privilege</t>
  </si>
  <si>
    <t>Physical access requests are reviewed and approved by the asset owner</t>
  </si>
  <si>
    <t>Physical access that poses higher risk to the function receives additional scrutiny and monitoring</t>
  </si>
  <si>
    <t>Physical access privileges are reviewed and updated</t>
  </si>
  <si>
    <t>Physical access is monitored to identify potential cybersecurity events</t>
  </si>
  <si>
    <t>Documented procedures are established, followed, and maintained for activities in the ACCESS domain</t>
  </si>
  <si>
    <t>Up-to-date policies or other organizational directives define requirements for activities in the ACCESS domain</t>
  </si>
  <si>
    <t>Responsibility, accountability, and authority for the performance of activities in the ACCESS domain are assigned to personnel</t>
  </si>
  <si>
    <t>The effectiveness of activities in the ACCESS domain is evaluated and tracked</t>
  </si>
  <si>
    <t>Situational Awareness (SITUATION)</t>
  </si>
  <si>
    <t>Logging is occurring for assets important to the delivery of the function, at least in an ad hoc manner (ASSET-1a, ASSET-2a)</t>
  </si>
  <si>
    <t>Logging is occurring for assets within the function that may be leveraged to achieve a threat objective, wherever feasible</t>
  </si>
  <si>
    <t>Logging requirements are established and maintained for assets important to the delivery of the function and assets within the function that may be leveraged to achieve a threat objective (ASSET-1a, ASSET-2a)</t>
  </si>
  <si>
    <t>More rigorous logging is performed for higher priority assets (ASSET-1d)</t>
  </si>
  <si>
    <t>Periodic reviews of log data or other cybersecurity monitoring activities are performed, at least in an ad hoc manner</t>
  </si>
  <si>
    <t>IT and OT environments are monitored for anomalous activity that may indicate a cybersecurity event, at least in an ad hoc manner</t>
  </si>
  <si>
    <t>Indicators of anomalous activity are established and maintained based on system logs, data flows, network baselines, cybersecurity events, and architecture and are monitored across the IT and OT environments</t>
  </si>
  <si>
    <t>Alarms and alerts are configured and maintained to support the identification of cybersecurity events</t>
  </si>
  <si>
    <t>Monitoring activities are aligned with the threat profile (THREAT-2d)</t>
  </si>
  <si>
    <t>More rigorous monitoring is performed for higher priority assets (ASSET-1d)</t>
  </si>
  <si>
    <t>Continuous monitoring is performed across IT and OT environments to identify anomalous activity</t>
  </si>
  <si>
    <t>Risk analysis information (RISK-3d) is used to identify indicators of anomalous activity</t>
  </si>
  <si>
    <t>Indicators of anomalous activity are evaluated and updated periodically and according to defined triggers, such as system changes and external events</t>
  </si>
  <si>
    <t>Situational awareness reporting requirements have been defined and address timely dissemination of cybersecurity information to organization-defined stakeholders</t>
  </si>
  <si>
    <t>Monitoring data are aggregated and analyzed to provide near-real-time understanding of the cybersecurity state of the function</t>
  </si>
  <si>
    <t>Relevant information from outside the organization is collected and made available across the organization to enhance situational awareness</t>
  </si>
  <si>
    <t>Procedures are in place to analyze received cybersecurity information in support of situational awareness</t>
  </si>
  <si>
    <t>Predefined states of operation are documented and can be implemented based on the cybersecurity state of the function or when triggered by activities in other domains (THREAT-2j, RESPONSE-3k)</t>
  </si>
  <si>
    <t>Documented procedures are established, followed, and maintained for activities in the SITUATION domain</t>
  </si>
  <si>
    <t>Up-to-date policies or other organizational directives define requirements for activities in the SITUATION domain</t>
  </si>
  <si>
    <t>Responsibility, accountability, and authority for the performance of activities in the SITUATION domain are assigned to personnel</t>
  </si>
  <si>
    <t>The effectiveness of activities in the SITUATION domain is evaluated and tracked</t>
  </si>
  <si>
    <t>Event and Incident Response, Continuity of Operations (RESPONSE)</t>
  </si>
  <si>
    <t>Criteria are established for cybersecurity event detection (for example, what constitutes a cybersecurity event, where to look for cybersecurity events)</t>
  </si>
  <si>
    <t>Cybersecurity events are logged based on the established criteria</t>
  </si>
  <si>
    <t>Cybersecurity event detection activities are adjusted based on identified risks (RISK-2a) and the organization’s threat profile (THREAT-2d)</t>
  </si>
  <si>
    <t>Situational awareness for the function is monitored to support the identification of cybersecurity events</t>
  </si>
  <si>
    <t>Cybersecurity incident declaration criteria are formally established based on the potential impact to the function</t>
  </si>
  <si>
    <t>Cybersecurity events are declared to be incidents based on established criteria</t>
  </si>
  <si>
    <t>Cybersecurity incident declaration criteria are updated periodically and according to defined triggers, such as organizational changes, lessons learned from plan execution, or newly identified threats</t>
  </si>
  <si>
    <t>There is a repository where cybersecurity events and incidents are logged and tracked to closure</t>
  </si>
  <si>
    <t>Cybersecurity stakeholders (for example, government, connected organizations, vendors, sector organizations, regulators, and internal entities) are identified and notified of events and incidents based on situational awareness reporting requirements (SITUATION-3d)</t>
  </si>
  <si>
    <t>Criteria for cybersecurity incident declaration are aligned with cyber risk prioritization criteria (RISK-3b)</t>
  </si>
  <si>
    <t>Reporting of incidents is performed (for example, internal reporting, ICS-CERT, relevant ISACs), at least in an ad hoc manner</t>
  </si>
  <si>
    <t>Cybersecurity incident response plans that address all phases of the incident lifecycle are established and maintained</t>
  </si>
  <si>
    <t>Cybersecurity event and incident response plan exercises are conducted periodically and according to defined triggers, such as system changes and external events</t>
  </si>
  <si>
    <t>Cybersecurity event and incident lessons-learned activities are performed and corrective actions are taken, including updates to the incident response plan</t>
  </si>
  <si>
    <t>Cybersecurity event and incident root-cause analysis is performed and corrective actions are taken, including updates to the incident response plan</t>
  </si>
  <si>
    <t>Cybersecurity event and incident responses are coordinated with vendors, law enforcement, and other external entities as appropriate, including support for evidence collection and preservation</t>
  </si>
  <si>
    <t>Cybersecurity event and incident response personnel participate in joint cybersecurity exercises with other organizations</t>
  </si>
  <si>
    <t>Continuity plans are developed to sustain and restore operation of the function if a cybersecurity event or incident occurs, at least in an ad hoc manner</t>
  </si>
  <si>
    <t>Data backups are available and tested, at least in an ad hoc manner</t>
  </si>
  <si>
    <t>IT and OT assets requiring spares are identified, at least in an ad hoc manner</t>
  </si>
  <si>
    <t>An analysis of the impacts from potential cybersecurity events informs the development of continuity plans</t>
  </si>
  <si>
    <t>Continuity plans address IT, OT, and information assets important to the delivery of the function, including the availability of backup data and replacement, redundant, and spare IT and OT assets (ASSET-1a, ASSET-2a)</t>
  </si>
  <si>
    <t>Continuity plans are tested through evaluations and exercises periodically and according to defined triggers, such as system changes and external events</t>
  </si>
  <si>
    <t>Data backups are protected with at least the same controls as source data</t>
  </si>
  <si>
    <t>Data backups are logically or physically separated from source data</t>
  </si>
  <si>
    <t>Spares for selected IT and OT assets are available</t>
  </si>
  <si>
    <t>Recovery time objectives (RTOs) and recovery point objectives (RPOs) for assets important to the delivery of the function are incorporated into continuity plans (ASSET-1a, ASSET-2a)</t>
  </si>
  <si>
    <t>Cybersecurity incident criteria that trigger the execution of continuity plans are established and communicated to incident response and continuity management personnel</t>
  </si>
  <si>
    <t>Continuity plans are aligned with identified risks (RISK-2a) and the organization’s threat profile (THREAT-2d) to ensure coverage of identified risk categories and threats</t>
  </si>
  <si>
    <t>Continuity plan exercises address higher priority risks (RISK-3a)</t>
  </si>
  <si>
    <t>Documented procedures are established, followed, and maintained for activities in the RESPONSE domain</t>
  </si>
  <si>
    <t>Up-to-date policies or other organizational directives define requirements for activities in the RESPONSE domain</t>
  </si>
  <si>
    <t>Responsibility, accountability, and authority for the performance of activities in the RESPONSE domain are assigned to personnel</t>
  </si>
  <si>
    <t>The effectiveness of activities in the RESPONSE domain is evaluated and tracked</t>
  </si>
  <si>
    <t>Third-Party Risk Management (THIRD-PARTIES)</t>
  </si>
  <si>
    <t>Important IT and OT third-party dependencies are identified (that is, internal and external parties on which the delivery of the function depends, including operating partners), at least in an ad hoc manner</t>
  </si>
  <si>
    <t>Third parties that have access to, control of, or custody of any IT, OT, or information assets important to the delivery of the function are identified, at least in an ad hoc manner</t>
  </si>
  <si>
    <t>Third parties are prioritized according to established criteria (for example, importance to the delivery of the function, impact of a compromise or disruption, ability to negotiate cybersecurity requirements within contracts)</t>
  </si>
  <si>
    <t>Escalated prioritization is assigned to suppliers and other third parties whose compromise or disruption could cause significant consequences (for example, single-source suppliers, suppliers with privileged access)</t>
  </si>
  <si>
    <t>Prioritization of suppliers and other third parties is updated periodically and according to defined triggers, such as system changes and external events</t>
  </si>
  <si>
    <t>The selection of suppliers and other third parties includes consideration of their cybersecurity qualifications, at least in an ad hoc manner</t>
  </si>
  <si>
    <t>The selection of products and services includes consideration of their cybersecurity capabilities, at least in an ad hoc manner</t>
  </si>
  <si>
    <t>A defined method is followed to identify cybersecurity requirements and implement associated controls that protect against the risks arising from suppliers and other third parties</t>
  </si>
  <si>
    <t>A defined method is followed to evaluate and select suppliers and other third parties</t>
  </si>
  <si>
    <t>More rigorous cybersecurity controls are implemented for higher priority suppliers and other third parties</t>
  </si>
  <si>
    <t>Cybersecurity requirements are formalized in agreements with suppliers and other third parties where applicable</t>
  </si>
  <si>
    <t>Suppliers and other third parties periodically attest to their ability to meet cybersecurity requirements</t>
  </si>
  <si>
    <t>Cybersecurity requirements for suppliers and other third parties include secure software and secure product development requirements where appropriate</t>
  </si>
  <si>
    <t>Selection criteria include consideration of end-of-life and end-of-support timelines</t>
  </si>
  <si>
    <t>Selection criteria include consideration of safeguards against counterfeit or compromised software, hardware, and services</t>
  </si>
  <si>
    <t>Documented procedures are established, followed, and maintained for activities in the THIRDPARTIES domain</t>
  </si>
  <si>
    <t>Adequate resources (people, funding, and tools) are provided to support activities in the THIRD-PARTIES domain</t>
  </si>
  <si>
    <t>Up-to-date policies or other organizational directives define requirements for activities in the THIRD-PARTIES domain</t>
  </si>
  <si>
    <t>Personnel performing activities in the THIRD-PARTIES domain have the skills and knowledge needed to perform their assigned responsibilities</t>
  </si>
  <si>
    <t>Responsibility, accountability, and authority for the performance of activities in the THIRDPARTIES domain are assigned to personnel</t>
  </si>
  <si>
    <t>The effectiveness of activities in the THIRD-PARTIES domain is evaluated and tracked</t>
  </si>
  <si>
    <t>Workforce Management (WORKFORCE)</t>
  </si>
  <si>
    <t>Cybersecurity responsibilities are assigned to specific roles, including external service providers</t>
  </si>
  <si>
    <t>Cybersecurity responsibilities are documented</t>
  </si>
  <si>
    <t>Cybersecurity responsibilities and job requirements are reviewed and updated periodically and according to defined triggers, such as system changes and changes to organizational structure</t>
  </si>
  <si>
    <t>Cybersecurity knowledge, skill, and ability requirements and gaps are identified for both current and future operational needs, at least in an ad hoc manner</t>
  </si>
  <si>
    <t>Cybersecurity training is provided as a prerequisite to granting access to assets that support the delivery of the function</t>
  </si>
  <si>
    <t>The effectiveness of training programs is evaluated periodically, and improvements are made as appropriate</t>
  </si>
  <si>
    <t>Personnel vetting (for example, background checks, drug tests) is performed at hire, at least in an ad hoc manner</t>
  </si>
  <si>
    <t>Personnel separation procedures address cybersecurity, at least in an ad hoc manner</t>
  </si>
  <si>
    <t>Personnel vetting is performed periodically for positions that have access to the assets required for delivery of the function</t>
  </si>
  <si>
    <t>Users are made aware of their responsibilities for protection and acceptable use of IT, OT, and information assets</t>
  </si>
  <si>
    <t>Objectives for cybersecurity awareness activities are established and maintained</t>
  </si>
  <si>
    <t>Cybersecurity awareness objectives are aligned with the defined threat profile (THREAT-2d)</t>
  </si>
  <si>
    <t>The effectiveness of cybersecurity awareness activities is evaluated periodically and according to defined triggers, such as system changes and external events, and improvements are made as appropriate</t>
  </si>
  <si>
    <t>Documented procedures are established, followed, and maintained for activities in the WORKFORCE domain</t>
  </si>
  <si>
    <t>Up-to-date policies or other organizational directives define requirements for activities in the WORKFORCE domain</t>
  </si>
  <si>
    <t>Responsibility, accountability, and authority for the performance of activities in the WORKFORCE domain are assigned to personnel</t>
  </si>
  <si>
    <t>The effectiveness of activities in the WORKFORCE domain is evaluated and tracked</t>
  </si>
  <si>
    <t>Cybersecurity Architecture (ARCHITECTURE)</t>
  </si>
  <si>
    <t>The organization has a strategy for cybersecurity architecture, which may be developed and managed in an ad hoc manner</t>
  </si>
  <si>
    <t>Governance for cybersecurity architecture (such as an architecture review board) is established and maintained that includes provisions for periodic architectural reviews and an exceptions process</t>
  </si>
  <si>
    <t>The cybersecurity architecture establishes and maintains cybersecurity requirements for the organization’s assets</t>
  </si>
  <si>
    <t>Cybersecurity controls are selected and implemented to meet cybersecurity requirements</t>
  </si>
  <si>
    <t>Conformance of the organization’s systems and networks to the cybersecurity architecture is evaluated periodically and according to defined triggers, such as system changes and external events</t>
  </si>
  <si>
    <t>The cybersecurity architecture is guided by the organization’s risk analysis information (RISK3d) and threat profile (THREAT-2d)</t>
  </si>
  <si>
    <t>The cybersecurity architecture addresses predefined states of operation (SITUATION-3h)</t>
  </si>
  <si>
    <t>The organization’s IT systems are separated from OT systems through segmentation, either through physical means or logical means, at least in an ad hoc manner</t>
  </si>
  <si>
    <t>Assets that are important to the delivery of the function are logically or physically segmented into distinct security zones based on asset cybersecurity requirements (ASSET-1a, ASSET-2a)</t>
  </si>
  <si>
    <t>Network protections incorporate the principles of least privilege and least functionality</t>
  </si>
  <si>
    <t>Network protections are defined and enforced for selected asset types according to asset risk and priority (for example, internal assets, perimeter assets, assets connected to the organization’s Wi-Fi, cloud assets, remote access, and externally owned devices)</t>
  </si>
  <si>
    <t>Network protections include monitoring, analysis, and control of network traffic for selected security zones (for example, firewalls, whitelisting, intrusion detection and prevention systems [IDPS])</t>
  </si>
  <si>
    <t>Web traffic and email are monitored, analyzed, and controlled (for example, malicious link blocking, suspicious download blocking, email authentication techniques, IP address blocking)</t>
  </si>
  <si>
    <t>All assets are segmented into distinct security zones based on cybersecurity requirements</t>
  </si>
  <si>
    <t>Isolated networks are implemented, where warranted, that logically or physically segment assets into security zones with independent authentication</t>
  </si>
  <si>
    <t>OT systems are operationally independent from IT systems so that OT operations are unimpeded by an outage of IT systems</t>
  </si>
  <si>
    <t>Network connections are protected commensurate with risk to the organization (for example, secure connections for remote administration)</t>
  </si>
  <si>
    <t>Device connections to the network are controlled to ensure that only authorized devices can connect (for example, network access control [NAC])</t>
  </si>
  <si>
    <t>The cybersecurity architecture enables the isolation of compromised assets</t>
  </si>
  <si>
    <t>Cybersecurity controls are implemented for assets important to the delivery of the function, at least in an ad hoc manner</t>
  </si>
  <si>
    <t>More rigorous cybersecurity controls are implemented for higher priority assets (ASSET-1d)</t>
  </si>
  <si>
    <t>The principle of least privilege (for example, limiting administrative access for users and service accounts) is enforced</t>
  </si>
  <si>
    <t>The principle of least functionality (for example, limiting services, limiting applications, limiting ports, limiting connected devices) is enforced</t>
  </si>
  <si>
    <t>Secure configurations are implemented as part of the asset deployment process where feasible</t>
  </si>
  <si>
    <t>Security applications are required as an element of device configuration where feasible (for example, endpoint detection and response, host-based firewalls)</t>
  </si>
  <si>
    <t>The use of removeable media is controlled (for example, limiting the use of USB devices, managing external hard drives)</t>
  </si>
  <si>
    <t>Cybersecurity controls, including physical access controls, are implemented for all assets used for the delivery of the function (ASSET-1f) either at the asset level or as compensating controls where asset-level controls are not feasible</t>
  </si>
  <si>
    <t>Configuration of and changes to firmware are controlled throughout the asset lifecycle</t>
  </si>
  <si>
    <t>Controls are implemented to prevent the execution of unauthorized code</t>
  </si>
  <si>
    <t>Software developed in-house for deployment on higher priority assets (ASSET-1d) is developed using secure software development practices</t>
  </si>
  <si>
    <t>The selection of procured software for deployment on higher priority assets (ASSET-1d) includes consideration of the vendor’s secure software development practices</t>
  </si>
  <si>
    <t>Secure software configurations are required as part of the software deployment process</t>
  </si>
  <si>
    <t>All software developed in-house is developed using secure software development practices</t>
  </si>
  <si>
    <t>The selection of all procured software includes consideration of the vendor’s secure software development practices</t>
  </si>
  <si>
    <t>The architecture review process evaluates the security of new and revised applications prior to deployment</t>
  </si>
  <si>
    <t>The authenticity of all software and firmware is validated prior to deployment</t>
  </si>
  <si>
    <t>Security testing (for example, static testing, dynamic testing, fuzz testing, penetration testing) is performed for in-house-developed and in-house-tailored applications periodically and according to defined triggers, such as system changes and external events</t>
  </si>
  <si>
    <t>Sensitive data is protected at rest, at least in an ad hoc manner</t>
  </si>
  <si>
    <t>All data at rest is protected for selected data categories (ASSET-2d)</t>
  </si>
  <si>
    <t>All data in transit is protected for selected data categories (ASSET-2d)</t>
  </si>
  <si>
    <t>Cryptographic controls are implemented for data at rest and data in transit for selected data categories (ASSET-2d)</t>
  </si>
  <si>
    <t>Key management infrastructure (that is, key generation, key storage, key destruction, key update, and key revocation) is implemented to support cryptographic controls</t>
  </si>
  <si>
    <t>Controls to restrict the exfiltration of data (for example, data loss prevention tools) are implemented</t>
  </si>
  <si>
    <t>The cybersecurity architecture includes protections (such as full disk encryption) for data that is stored on assets that may be lost or stolen</t>
  </si>
  <si>
    <t>The cybersecurity architecture includes protections against unauthorized changes to software, firmware, and data</t>
  </si>
  <si>
    <t>Documented procedures are established, followed, and maintained for activities in the ARCHITECTURE domain</t>
  </si>
  <si>
    <t>Up-to-date policies or other organizational directives define requirements for activities in the ARCHITECTURE domain</t>
  </si>
  <si>
    <t>Responsibility, accountability, and authority for the performance of activities in the ARCHITECTURE domain are assigned to personnel</t>
  </si>
  <si>
    <t>The effectiveness of activities in the ARCHITECTURE domain is evaluated and tracked</t>
  </si>
  <si>
    <t>Cybersecurity Program Management (PROGRAM)</t>
  </si>
  <si>
    <t>The organization has a cybersecurity program strategy, which may be developed and managed in an ad hoc manner</t>
  </si>
  <si>
    <t>The cybersecurity program strategy defines goals and objectives for the organization’s cybersecurity activities</t>
  </si>
  <si>
    <t>The cybersecurity program strategy defines the organization’s approach to provide program oversight and governance for cybersecurity activities</t>
  </si>
  <si>
    <t>The cybersecurity program strategy identifies standards and guidelines intended to be followed by the program</t>
  </si>
  <si>
    <t>The cybersecurity program strategy identifies any applicable compliance requirements that must be satisfied by the program (for example, NERC CIP, TSA Pipeline Security Guidelines, NIST guidelines, Payment Card Industry Data Security Standard, ISO, CMMC, and the California Consumer Privacy Act)</t>
  </si>
  <si>
    <t>The cybersecurity program strategy is updated to reflect business changes, changes in the operating environment, and changes in the threat profile (THREAT-2d)</t>
  </si>
  <si>
    <t>Senior management with proper authority provides support for the cybersecurity program, at least in an ad hoc manner</t>
  </si>
  <si>
    <t>Senior management sponsorship for the cybersecurity program is visible and active</t>
  </si>
  <si>
    <t>Responsibility for the cybersecurity program is assigned to a role with sufficient authority</t>
  </si>
  <si>
    <t>Cybersecurity program activities are periodically reviewed to ensure that they align with the cybersecurity program strategy</t>
  </si>
  <si>
    <t>Cybersecurity activities are independently reviewed to ensure conformance with cybersecurity policies and procedures, periodically and according to defined triggers, such as process changes</t>
  </si>
  <si>
    <t>The cybersecurity program addresses and enables the achievement of regulatory compliance, as appropriate</t>
  </si>
  <si>
    <t>Documented procedures are established, followed, and maintained for activities in the PROGRAM domain</t>
  </si>
  <si>
    <t>Up-to-date policies or other organizational directives define requirements for activities in the PROGRAM domain</t>
  </si>
  <si>
    <t>Responsibility, accountability, and authority for the performance of activities in the PROGRAM domain are assigned to personnel</t>
  </si>
  <si>
    <t>The effectiveness of activities in the PROGRAM domain is evaluated and tracked</t>
  </si>
  <si>
    <t>Control Logical Access</t>
  </si>
  <si>
    <t>Control Physical Access</t>
  </si>
  <si>
    <t>Establish and Maintain Cyber Risk Management Strategy and Program</t>
  </si>
  <si>
    <t>Identify and Prioritize Third Parties</t>
  </si>
  <si>
    <t>Implement Network Protections as an Element of the Cybersecurity Architecture</t>
  </si>
  <si>
    <t>Identify Cyber Risk</t>
  </si>
  <si>
    <t>Manage Third-Party Risk</t>
  </si>
  <si>
    <t>Respond to Threats and Share Threat Information</t>
  </si>
  <si>
    <t>Implement IT and OT Asset Security as an Element of the Cybersecurity Architecture</t>
  </si>
  <si>
    <t>Analyze Cyber Risk</t>
  </si>
  <si>
    <t>Implement Software Security as an Element of the Cybersecurity Architecture</t>
  </si>
  <si>
    <t>Respond to Cyber Risk</t>
  </si>
  <si>
    <t>Manage the organization’s IT and OT assets, including both hardware and software, and information assets commensurate with the risk to critical infrastructure and organizational objectives.
An asset is something of value to an organization. For the purposes of the model, assets to be considered are IT and OT hardware and software assets, as well as information essential to operating the function.</t>
  </si>
  <si>
    <t>An inventory of assets that are important to the delivery of the function is an important resource in managing cyber risk. Recording important information, such as software version, physical location, asset owner, and priority, enables many other cybersecurity management activities. For example, a robust asset inventory can identify the deployment location of software that requires patching.</t>
  </si>
  <si>
    <t>Managing asset configuration involves defining a configuration baseline and ensuring that assets are configured according to the baseline. Most commonly, this practice applies to ensuring that similar assets are configured in the same way. However, in cases where assets are either unique or must have individual configurations, managing asset configuration involves controlling the configuration baseline of the asset when it is deployed for operation and ensuring that the asset remains configured according to the baseline.</t>
  </si>
  <si>
    <t>Managing changes to assets includes analyzing requested changes to ensure they do not introduce unacceptable vulnerabilities into the operating environment, ensuring all changes follow the change management process, and identifying unauthorized changes. Change control applies to the entire asset lifecycle, including requirements definition, testing, deployment and maintenance, and retirement from operation.</t>
  </si>
  <si>
    <t>Establish and maintain plans, procedures, and technologies to detect, identify, analyze, manage, and respond to cybersecurity threats and vulnerabilities, commensurate with the risk to the organization’s infrastructure (such as critical, IT, and operational) and organizational objectives.
A cybersecurity threat is defined as any circumstance or event with the potential to adversely impact organizational operations (including mission, functions, image, or reputation), resources, or other organizations through IT, OT, or communications infrastructure via unauthorized access, destruction, disclosure, modification of information, or denial of service. Threats to information, IT, OT, and communication infrastructure assets vary and may include malicious actors, malware (such as viruses and worms) and distributed denial-of-service (DDoS) attacks.
A cybersecurity vulnerability is a weakness or flaw in IT, OT, communications systems or devices, procedures, or internal controls that could be exploited by a threat.</t>
  </si>
  <si>
    <t>Reducing cybersecurity vulnerabilities begins with collecting and analyzing vulnerability information. Vulnerability discovery may be performed using automatic scanning tools, network penetration tests, cybersecurity exercises, and audits. Vulnerability analysis should consider the vulnerability’s local impact (the potential effect of the vulnerability on the exposed asset) as well as the importance of the asset to the delivery of the function. Vulnerabilities may be addressed by implementing mitigating controls, monitoring threat status, applying cybersecurity patches, replacing outdated equipment, or performing other activities.</t>
  </si>
  <si>
    <t>RISK-4-0</t>
  </si>
  <si>
    <t>RISK-5-0</t>
  </si>
  <si>
    <t>Establish, operate, and maintain an enterprise cyber risk management program to identify, analyze, and respond to cyber risk the organization is subject to, including its business units, subsidiaries, related interconnected infrastructure, and stakeholders.
Cyber risk is defined as the possibility of harm or loss due to unauthorized access, use, disclosure, disruption, modification, or destruction of IT, OT, or information assets. Cyber risk is one component of the overall risk environment and feeds into an organization’s enterprise risk management strategy and program. Cyber risk cannot be completely eliminated, but it can be managed through informed decision-making processes.</t>
  </si>
  <si>
    <t>Managing cyber risk involves framing, identifying and assessing, responding to (accepting, avoiding, mitigating, transferring), and monitoring risks in a manner that aligns with the needs of the organization. Key to performing these activities is a common understanding of the cyber risk management strategy. A cyber risk management strategy provides direction for analyzing and prioritizing cyber risk and defines risk tolerance. The cyber risk management strategy may include a risk analysis methodology, risk monitoring strategy, and a description of how the cyber risk program will be governed. The cyber risk management strategy should align with the enterprise risk management strategy to ensure that cyber risk is managed in a manner that is consistent with the organization’s mission and business objectives.</t>
  </si>
  <si>
    <t>Risks are identified, categorized, and prioritized in a way that helps the organization consistently respond to and monitor risks. A risk register—a list of identified risks and associated attributes—also facilitates this process. Consolidation of risks into categories enables the organization to develop a risk register that is reflective of the current risk environment and can be managed effectively with available resources. Other domains in the model (Situational Awareness, Event and Incident Response, Continuity of Operations, and  Cybersecurity Architecture) refer to risk practices and illustrate how the practices in the model are strengthened as they connect through a cyber risk management program. And information generated through activities in the Threat and Vulnerability Management and Third-Party Risk Management domains is used to update cyber risks and identify new risks.</t>
  </si>
  <si>
    <t>ACCESS-4-0</t>
  </si>
  <si>
    <t>Create and manage identities for entities that may be granted logical or physical access to the organization’s assets. Control access to the organization’s assets, commensurate with the risk to critical infrastructure and organizational objectives.
For the purposes of this domain, access control applies to logical access to assets used in the delivery of the function, physical access to assets relevant to the function, and automated access control systems (logical or physical) relevant to the function. Improper access management practices can lead to unauthorized use, disclosure, destruction, or modification, as well as unnecessary exposure to cyber risks.</t>
  </si>
  <si>
    <t>RESPONSE-5-0</t>
  </si>
  <si>
    <t>THIRDPARTY-0</t>
  </si>
  <si>
    <t>THIRDPARTY-1-0</t>
  </si>
  <si>
    <t>THIRDPARTY-2-0</t>
  </si>
  <si>
    <t>THIRDPARTY-3-0</t>
  </si>
  <si>
    <t>ARCHITECTURE-6-0</t>
  </si>
  <si>
    <t xml:space="preserve">Controlling logical and physical access includes determining access requirements, granting access to assets based on those requirements, and revoking access when it is no longer required. Logical and physical access requirements are associated with each asset or assets within a given area, and provide guidance for the types of entities or individuals allowed to access the asset, the limits of allowed access and, for logical access, authentication parameters. For example, the logical access requirements for a specific asset might allow remote access by a vendor only during specified and planned maintenance intervals and might also require multifactor authentication for such access. At higher maturity indicator levels, more scrutiny is applied to the access being granted. Logical and physical access is granted only after considering risk to the function, and regular reviews of access are conducted. </t>
  </si>
  <si>
    <t>The cybersecurity architecture helps an organization plan for how security is to be engineered in a way that transcends point solutions for individual assets such as identity management or access control. It enables reasoning about the security of critical applications and data in terms of known architectural controls to, for example, detect, resist, react to, and recover from attacks. Such tactics include segmentation, choice of hosting solutions, cryptographic controls, and audit trails, and they can be allied with availability controls such as monitoring, rollback, and redundancy.
To be effective, the cybersecurity architecture must be sufficiently documented so that it can be communicated to stakeholders. It must also be governed such that those responsible for the cybersecurity architecture are included in planning and decision-making processes when changes to the organization, IT systems, or OT systems are being considered. In this way, changes to the organization can be reviewed to address security concerns and align with the organization’s cyber risk tolerance.</t>
  </si>
  <si>
    <t>Establish and maintain an enterprise cybersecurity program that provides governance, strategic planning, and sponsorship for the organization’s cybersecurity activities in a manner that aligns cybersecurity objectives with both the organization’s strategic objectives and the risk to critical infrastructure.
A cybersecurity program is an integrated group of activities designed and managed to meet cybersecurity objectives for the organization or the function. A cybersecurity program may be implemented at either the organization or the function level, but a higher level implementation and enterprise viewpoint may benefit the organization by integrating activities and leveraging resource investments across the entire enterprise.</t>
  </si>
  <si>
    <t>Establish and maintain plans, procedures, and technologies to detect, analyze, mitigate, respond to, and recover from cybersecurity events and incidents and to sustain operations during cybersecurity incidents, commensurate with the risk to critical infrastructure and organizational objectives.
A cybersecurity event in a system or network is any observable occurrence that is related to a cybersecurity requirement (confidentiality, integrity, or availability of assets). A cybersecurity incident is an event or series of events that significantly affects or could significantly affect critical infrastructure or organizational assets and services and requires the organization (and possibly other stakeholders) to respond in some way to prevent or limit adverse impacts.</t>
  </si>
  <si>
    <t>Detecting cybersecurity events includes designating a forum for reporting events and establishing criteria for event prioritization. These criteria should align with the cyber risk management strategy discussed in the Risk Management domain, ensure consistent valuation of events, and provide a means to
determine what constitutes a cybersecurity event, when cybersecurity events are to be escalated, and the conditions that warrant the declaration of cybersecurity incidents. Cybersecurity events may originate with or impact third parties necessitating coordination in response planning, execution, and communications.</t>
  </si>
  <si>
    <t>Responding to cybersecurity incidents requires the organization to have a process to limit the impact of cybersecurity incidents to its functional and organizational units. The process should describe how the organization manages all phases of the incident lifecycle, such as triage, handling, communication, coordination, and closure. Conducting lessons-learned reviews as a part of cybersecurity event and incident response and continuity of operations helps the organization eliminate the exploited vulnerability that led to the incident.</t>
  </si>
  <si>
    <t>Planning for continuity involves the necessary activities to sustain the function in the event of an interruption, such as a severe cybersecurity incident or a disaster. Ensuring that continuity plans address potential cybersecurity incidents requires consideration of known cyber threats and identified categories of cyber risk. Continuity plan testing should include cybersecurity incident scenarios to ensure that plans will function as intended during such incidents.</t>
  </si>
  <si>
    <t>Monitoring and analyzing data collected in logs and through other means enables the organization to understand the function’s operational and cybersecurity status. Effectively communicating the operational, security, and threat status to relevant decision makers is the essence of situational awareness (sometimes referred to as a common operating picture). While many situational awareness implementations may include visualization tools, such as dashboards, maps, and other graphical displays, they are not necessarily required to achieve the goal.</t>
  </si>
  <si>
    <t>Identifying third parties involves establishing and maintaining a comprehensive understanding of the key external relationships required for the delivery of the function. After identification, third parties should be prioritized to determine which third-party dependencies are most critical to the delivery of the function. Prioritization criteria should consider the risk to the function that is introduced by third-party relationships.</t>
  </si>
  <si>
    <t>Managing third-party risk includes approaches such as independent testing, code review, scanning for vulnerabilities, and reviewing demonstrable evidence from the vendor that a secure software development process has been followed. Contracts binding the organization to a relationship with a partner or vendor for products or services should be reviewed and approved for cyber risk mitigation, such as contract language that establishes vendor responsibilities for meeting or exceeding specified cybersecurity standards or guidelines. Service level agreements can specify monitoring and audit processes to verify that vendors and service providers meet cybersecurity and other performance measures.</t>
  </si>
  <si>
    <t>An important aspect of assigning cybersecurity responsibilities is ensuring adequacy and redundancy of coverage. For example, specific workforce roles with significant cybersecurity responsibilities are often easy to determine, but they can be challenging to maintain. It is vital to develop plans for key cybersecurity workforce roles such as system administrators to provide appropriate training, testing, redundancy, and evaluations of performance. Cybersecurity responsibilities are not restricted to traditional IT roles; for example, engineers, control room operators, and field technicians may have cybersecurity responsibilities.</t>
  </si>
  <si>
    <t>Implementing workforce controls includes personnel vetting, such as background checks, with extra vetting performed for positions that have access to assets needed to deliver an essential service. For example, system administrators typically have the ability to change configuration settings, modify or delete log files, create new accounts, and change passwords on critical systems, and specific measures are taken for protection of these systems from accidental or malicious behavior by this category of personnel.</t>
  </si>
  <si>
    <t>Increasing the cybersecurity awareness of the workforce is as important as technological approaches for improving the cybersecurity of the organization. The threat of a cyber attack to an organization often starts with gaining some foothold into a company’s IT or OT systems, for example, by gaining the trust of an unwary employee or contractor who then introduces media or devices into the organization’s networks. The organization should share information with its workforce on methods and techniques to identify suspicious behavior, avoid spam and spear phishing, and recognize social engineering attacks to avoid providing information about the organization to potential adversaries. For example, an internal website could provide information about new threats and vulnerabilities in the industry. If no information on threats, vulnerabilities, and best practices is shared with the workforce, personnel may become lax about security processes and procedures.</t>
  </si>
  <si>
    <t>Establish and maintain the structure and behavior of the organization’s cybersecurity architecture, including controls, processes, technologies and other elements, commensurate with the risk to critical infrastructure and organizational objectives.
Establishing a cybersecurity architecture involves identifying cybersecurity requirements for the organization’s assets and designing appropriate controls to protect them.
The cybersecurity architecture serves as a reference to guide how cybersecurity is to be implemented to meet the objectives of the cybersecurity program strategy.</t>
  </si>
  <si>
    <t>Establish and maintain plans, procedures, technologies, and controls to create a culture of cybersecurity and to ensure the ongoing suitability and competence of personnel, commensurate with the risk to critical infrastructure and organizational objectives.
As organizations increasingly adopt advanced digital technology, it is a challenge to enhance the skill sets of their existing workforce and hire personnel with the appropriate level of cybersecurity experience, education, and training. Organizations’ reliance on advanced technology for digital communications and control continues to grow, and workforce issues are a crucial aspect of successfully addressing cybersecurity and risk management for these systems.
Collective bargaining agreements may challenge some aspects of the practices in this domain as written, so organizations may need to implement alternative practices that meet the intent of the model practices and align with those agreements.</t>
  </si>
  <si>
    <t>Establish and maintain controls to manage the cyber risks arising from suppliers and other third parties, commensurate with the risk to critical infrastructure and organizational objectives.
As the interdependencies among infrastructures, operating partners, suppliers, and service providers increase, establishing and maintaining a comprehensive understanding of key relationships and managing their associated cyber risks are essential for the secure, reliable, and resilient delivery of the function.
The model classifies third-party dependencies as external parties on which the delivery of the function depends, including operating partners. These relationships may vary in importance because the function may have a greater reliance on specific third parties, particularly if a third party has access to, control of, or custody of an asset. Third parties include entities such as suppliers, vendors, service providers, infrastructure dependencies (e.g., telecommunications, water), and governmental organizations (e.g., emergency response services, federal partners).
Supply chain risk is a noteworthy example of a supplier dependency. The cybersecurity characteristics of products and services vary widely. Without proper risk management, they pose serious threats, including software of unknown provenance and counterfeit (possibly malicious) hardware. Organizations’ requests for proposal often give suppliers of high-technology systems, devices, and services only rough specifications, which may lack adequate requirements for security and quality assurance. The autonomy organizations often give to their individual business units further increases the risk, unless procurement activities are constrained by plan or policy to include cybersecurity requirements.</t>
  </si>
  <si>
    <t>Establish and maintain activities and technologies to collect, monitor, analyze, alarm, report, and use operational, security, and threat information, including status and summary information from the other model domains, to establish situational awareness for both the organization’s operational state and cybersecurity state.
Situational awareness involves developing near-real-time knowledge of a dynamic operating environment. In part, this is accomplished through the logging and monitoring of IT, OT, and communication infrastructure assets essential for the delivery of the function. It is equally important to maintain knowledge of relevant, current cybersecurity events external to the enterprise. Once an organization develops situational awareness, it can align predefined states of operation to changes in the operating environment. The ability to shift from one predefined state to another can enable faster and more effective response to cybersecurity events or changes in the threat environment.</t>
  </si>
  <si>
    <t>Laitteiden ja ohjelmistojen hallinta</t>
  </si>
  <si>
    <t>Konfiguraation hallinta</t>
  </si>
  <si>
    <t>Muutoksenhallinta</t>
  </si>
  <si>
    <t>Laitteiden, ohjelmistojen ja tiedon muutoksenhallintaan kuuluu muutospyyntöjen arviointi, muutoksenhallintaprosessin noudattaminen ja luvattomien muutosten tunnistaminen. Muutosten ennakkoarvioinnilla pyritään varmistamaan, ettei toimintaympäristöön luoda haitallisia haavoittuvuuksia. Muutoksenhallinta kattaa omaisuuden koko elinkaaren: vaatimusmäärittelyn, testaamisen, käyttöönoton, ylläpidon ja käytöstä poistamisen.</t>
  </si>
  <si>
    <t>Rekisteri toiminnon kannalta tärkeistä laitteista ja ohjelmistoista on tärkeä osa kyberriskienhallintaa. Tärkeiden tietojen kuten versionumeroiden, sijainnin, omistajan tai kriittisyyden rekisteröinti on edellytys monille muille kyberturvallisuuden hallintatoimille. Hyvä rekisteri voi auttaa esimerkiksi tunnistamaan missä laitteissa päivitystä tarvitsevia ohjelmistoja on asennettuna.</t>
  </si>
  <si>
    <t>Rekisteri toiminnon kannalta tärkeistä tiedoista on tärkeä osa kyberriskienhallintaa. Tällaiset tietovarannot voivat liittyä esimerkiksi asiakkaisiin, tuotteisiin tai palveluihin. Hyvä rekisteri voi auttaa esimerkiksi tunnistamaan missä järjestelmissä käsitellään arkaluonteisia henkilötietoja.</t>
  </si>
  <si>
    <t>Identiteetinhallinta lähtee siitä, että toimijoille luodaan identiteetit, jotka poistetaan käytöstä, kun niitä ei enää tarvita. Toimijoita voivat olla henkilöt (organisaation omat työntekijät tai organisaation ulkopuoliset henkilöt) yhtä hyvin kuin laitteet, järjestelmät tai prosessit, joilla on tarve saada pääsy suojattaviin kohteisiin. Identiteettien ylläpitoon kuuluu identiteettien jäljitettävyys (ts. identiteettien oikeellisuuden ja ajantasaisuuden varmistaminen) sekä niiden poistaminen käytöstä. Jaettujen identiteettien käyttö voi vaatia lisätoimia riittävän turvallisuustason takaamiseksi.</t>
  </si>
  <si>
    <t>Osallistujat</t>
  </si>
  <si>
    <t>EDELLINEN ARVIOINTI</t>
  </si>
  <si>
    <t>Kyberturvallisuuden kehitysalueet</t>
  </si>
  <si>
    <t>Kommentit</t>
  </si>
  <si>
    <t>Päivämäärä</t>
  </si>
  <si>
    <t>Tietovarantojen hallinta</t>
  </si>
  <si>
    <t>Haavoittuvuuksien vähentäminen</t>
  </si>
  <si>
    <t>Uhkien torjunta ja uhkatiedon jakaminen</t>
  </si>
  <si>
    <t>Kyberriskien tunnistaminen</t>
  </si>
  <si>
    <t>Riskien analysointi</t>
  </si>
  <si>
    <t>Riskeihin reagointi</t>
  </si>
  <si>
    <t>Identiteettien luominen ja hallinta</t>
  </si>
  <si>
    <t>Fyysinen pääsynhallinta</t>
  </si>
  <si>
    <t>Lokienhallinta</t>
  </si>
  <si>
    <t>Ympäristöjen valvonta</t>
  </si>
  <si>
    <t>Tilannekuvan ylläpito</t>
  </si>
  <si>
    <t>Tapahtumien havainnointi</t>
  </si>
  <si>
    <t>Tapahtumien analysointi ja häiriötilanteiden määrittäminen</t>
  </si>
  <si>
    <t>Tapahtumiin ja häiriöihin reagoiminen</t>
  </si>
  <si>
    <t>Kyberturvallisuus osana toiminnan jatkuvuutta</t>
  </si>
  <si>
    <t>Kyberturvallisuuteen keskittyvän henkilöstön kehittäminen</t>
  </si>
  <si>
    <t>Henkilöstöhallinnon prosessit</t>
  </si>
  <si>
    <t>Koulutus ja kybertietoisuuden lisääminen</t>
  </si>
  <si>
    <t>Tietoverkkojen suojaus osana kyberarkkitehtuuria</t>
  </si>
  <si>
    <t>Laitteiden ja ohjelmistojen turvallisuus osana kyberarkkitehtuuria</t>
  </si>
  <si>
    <t>Tietojen suojaus osana kyberarkkitehtuuria</t>
  </si>
  <si>
    <t>Rekisteriin on kirjattu laitteista ja ohjelmistoista sellaisia ominaisuuksia, jotka tukevat organisaation kybertoimintaa (esimerkiksi laitteen tai ohjelmiston sijainti, prioriteetti, käyttöjärjestelmä tai firmware-versio).</t>
  </si>
  <si>
    <t>Rekisteriin kirjatut laitteet ja ohjelmistot on priorisoitu noudattaen määriteltyjä priorisointikriteerejä, joihin kuuluu arviointi laitteen tai ohjelmiston tärkeydestä toiminnolle.</t>
  </si>
  <si>
    <t>Rekisteri on täydellinen (eli rekisteri kattaa kaikki toiminnon pyörittämiseen tarvittavat laitteet ja ohjelmistot).</t>
  </si>
  <si>
    <t>Rekisteri on ajan tasalla (eli rekisteriä päivitetään aika ajoin ja määriteltyjen tilanteiden kuten järjestelmämuutosten yhteydessä).</t>
  </si>
  <si>
    <t>Laitteisiin tallennettu tieto tuhotaan tai poistetaan turvallisin keinoin ennen kuin laite otetaan uudelleen käyttöön tai laitteen tullessa käyttöikänsä päähän.</t>
  </si>
  <si>
    <t>Rekisteriin on kirjattu tietovarannoista sellaisia ominaisuuksia, jotka tukevat organisaation kybertoimintaa (esimerkiksi varmuuskopioiden sijainti ja päivitysväli, tiedon tallennussijainti tai tiedon kyberturvallisuusvaatimukset).</t>
  </si>
  <si>
    <t>Rekisteriin kirjatut tietovarannot on priorisoitu noudattaen määriteltyjä priorisointikriteerejä, joihin kuuluu arviointi tietovarannon tärkeydestä toiminnolle.</t>
  </si>
  <si>
    <t>Rekisteri on täydellinen (eli rekisteri kattaa kaikki toiminnon pyörittämiseen tarvittavat tietovarannot).</t>
  </si>
  <si>
    <t>Rekisteriä käytetään kyberriskien tunnistamiseen (esimerkiksi tunnistamaan sellaisia riskejä, jotka liittyvät tiedon luvattomaan julkistamiseen, tuhoamiseen tai peukalointiin).</t>
  </si>
  <si>
    <t>Vakioituja perusasetuksia käytetään, kun laitteille, ohjelmistoille tai tietovarannoille luodaan uusi konfiguraatio tai palautetaan vanha konfiguraatio.</t>
  </si>
  <si>
    <t>Vakioitujen perusasetusten suunnitteluun kuuluu kyberturvallisuustavoitteita.</t>
  </si>
  <si>
    <t>Vakioitujen perusasetusten määrittelyyn kuuluu soveltuvia vaatimuksia organisaation kyberarkkitehtuurista [kts. ARCHITECTURE-1e].</t>
  </si>
  <si>
    <t>Konfiguraatioiden yhdenmukaisuutta vakioituihin perusasetuksiin seurataan säännöllisesti koko laitteen, ohjelmiston tai tietovarannon elinkaaren ajan.</t>
  </si>
  <si>
    <t>Vakioidut perusasetukset tarkastetaan ja päivitetään aika ajoin ja määriteltyjen tilanteiden kuten järjestelmämuutosten yhteydessä tai organisaation kyberarkkitehtuurin muuttuessa.</t>
  </si>
  <si>
    <t>Laitteisiin, ohjelmistoihin ja tietovarantoihin tehtävät muutokset testataan ennen niiden toteuttamista.</t>
  </si>
  <si>
    <t>Muutoksenhallinnan käytännöt kattavat laitteiden, ohjelmistojen ja tiedon koko elinkaaren (esimerkiksi hankinnan, käyttöönoton, käytön ja käytöstä poiston).</t>
  </si>
  <si>
    <t>Laitteisiin, ohjelmistoihin ja tietovarantoihin tehtävien muutosten kyberturvallisuusvaikutus testataan ennen niiden toteuttamista.</t>
  </si>
  <si>
    <t>ASSET-osion toimintaa varten on määritetty dokumentoidut toimintatavat, joita noudatetaan ja päivitetään säännöllisesti.</t>
  </si>
  <si>
    <t>ASSET-osion toimintaa varten on tarjolla riittävät resurssit (henkilöstö, rahoitus ja työkalut).</t>
  </si>
  <si>
    <t>ASSET-osion toimintaa suorittavilla työntekijöillä on riittävät tiedot ja taidot tehtäviensä suorittamiseen.</t>
  </si>
  <si>
    <t>ASSET-osion toiminnan suorittamiseen tarvittavat vastuut, tilivelvollisuudet ja valtuutukset on jalkautettu soveltuville työntekijöille.</t>
  </si>
  <si>
    <t>ASSET-osion toiminnan vaikuttavuutta arvioidaan ja seurataan.</t>
  </si>
  <si>
    <t>Haavoittuvuustiedon lähteet kattavat korkean prioriteetin laitteet ja ohjelmistot [kts. ASSET-1d] ja näitä tietolähteitä seurataan säännöllisesti.</t>
  </si>
  <si>
    <t>Haavoittuvuusarviointeja suoritetaan aika ajoin ja määriteltyjen tilanteiden kuten järjestelmämuutosten tai ulkoisten tapahtumien yhteydessä.</t>
  </si>
  <si>
    <t>Tunnistetut haavoittuvuudet analysoidaan, priorisoidaan ja niihin puututaan tilanteen edellyttämin keinoin.</t>
  </si>
  <si>
    <t>Ohjelmistokorjausten vaikutus toiminnon operatiiviseen toimintaan arvioidaan ennen korjausten asentamista.</t>
  </si>
  <si>
    <t>Haavoittuvuuksien seurantaan kuuluu myös soveltuvin osin niiden johdosta toteutettujen toimenpiteiden tarkastaminen.</t>
  </si>
  <si>
    <t>Uhkatiedon lähteet kattavat kaikki uhkaprofiilin eri osat ja näitä tietolähteitä seurataan säännöllisesti.</t>
  </si>
  <si>
    <t>Tunnistetut uhat analysoidaan, priorisoidaan ja niihin puututaan tilanteen edellyttämin keinoin.</t>
  </si>
  <si>
    <t>Uhkatietoa vaihdetaan organisaation määrittelemien sidosryhmien kanssa (näitä voivat olla esimerkiksi palveluntoimittajat, viranomaiset, toimialan muut organisaatiot, ISAC-ryhmät tai organisaation muut sisäiset ja ulkoiset sidosryhmät).</t>
  </si>
  <si>
    <t>Toiminnon uhkaprofiili päivitetään aika ajoin ja määriteltyjen tilanteiden kuten järjestelmämuutosten tai ulkoisten tapahtumien yhteydessä.</t>
  </si>
  <si>
    <t>THREAT-osion toimintaa varten on määritetty dokumentoidut toimintatavat, joita noudatetaan ja päivitetään säännöllisesti.</t>
  </si>
  <si>
    <t>THREAT-osion toimintaa varten on tarjolla riittävät resurssit (henkilöstö, rahoitus ja työkalut).</t>
  </si>
  <si>
    <t>THREAT-osion toimintaa suorittavilla työntekijöillä on riittävät tiedot ja taidot tehtäviensä suorittamiseen.</t>
  </si>
  <si>
    <t>THREAT-osion toiminnan suorittamiseen tarvittavat vastuut, tilivelvollisuudet ja valtuutukset on jalkautettu soveltuville työntekijöille.</t>
  </si>
  <si>
    <t>THREAT-osion toiminnan vaikuttavuutta arvioidaan ja seurataan.</t>
  </si>
  <si>
    <t>Kyberriskienhallinnan toimenpiteistä jaetaan tietoa soveltuville sidosryhmille.</t>
  </si>
  <si>
    <t>Tunnistetut kyberriskit jaetaan erillisiin kategorioihin, jotta riskejä voidaan hallita kategoriakohtaisesti (kategorioita voivat olla esimerkiksi tietovuodot, sisäiset virheet, ransomware tai OT-laitteiden kaappaus).</t>
  </si>
  <si>
    <t>Kyberriskien tunnistamiseen osallistuu edustajia soveltuvista operatiivisen toiminnan ja liiketoiminnan yksiköistä.</t>
  </si>
  <si>
    <t>Kyberriskit ja kyberriskikategoriat dokumentoidaan riskirekisteriin (tai vastaavaan tietovarastoon).</t>
  </si>
  <si>
    <t>Kyberriskeille ja kyberriskikategorioille on nimitetty omistajat.</t>
  </si>
  <si>
    <t>Kyberriskien tunnistamisessa hyödynnetään ASSET-osion laitteiden, ohjelmistojen ja tietovarantojen rekisterejä sekä priorisointitietoja.</t>
  </si>
  <si>
    <t>Kyberriskien tunnistamisessa huomioidaan riskit, jotka kohdistuvat kriittiseen infrastruktuuriin tai keskinäisriippuvaisiin organisaatioihin.</t>
  </si>
  <si>
    <t>Määriteltyjä kriteerejä käytetään kyberriskien ja kyberriskikategorioiden priorisoinnissa (esimerkiksi vaikutus, todennäköisyys, alttius, riskinsietokyky).</t>
  </si>
  <si>
    <t>Kyberriskianalyysit päivitetään aika ajoin ja määriteltyjen tilanteiden kuten järjestelmämuutosten tai ulkoisten tapahtumien yhteydessä.</t>
  </si>
  <si>
    <t>Yritysjohto tarkastaa sekä kyberriskien vaikutusarviointien että kyberturvallisuuden suojausmekanismien arviointien tulokset varmistuakseen riskienhallinnan riittävyydestä ja siitä, että riskit ovat organisaation riskinottohalukkuuden mukaisia.</t>
  </si>
  <si>
    <t>RISK-osion toimintaa varten on määritetty dokumentoidut toimintatavat, joita noudatetaan ja päivitetään säännöllisesti.</t>
  </si>
  <si>
    <t>RISK-osion toimintaa varten on tarjolla riittävät resurssit (henkilöstö, rahoitus ja työkalut).</t>
  </si>
  <si>
    <t>RISK-osion toimintaa suorittavilla työntekijöillä on riittävät tiedot ja taidot tehtäviensä suorittamiseen.</t>
  </si>
  <si>
    <t>RISK-osion toiminnan suorittamiseen tarvittavat vastuut, tilivelvollisuudet ja valtuutukset on jalkautettu soveltuville työntekijöille.</t>
  </si>
  <si>
    <t>RISK-osion toiminnan vaikuttavuutta arvioidaan ja seurataan.</t>
  </si>
  <si>
    <t>Identiteettien ajantasaisuudesta huolehditaan tarkastamalla ja päivittämällä ne aika ajoin ja määriteltyjen tilanteiden kuten järjestelmämuutosten yhteydessä tai organisaatiorakenteen muuttuessa.</t>
  </si>
  <si>
    <t>Identiteetit poistetaan käytöstä organisaation määrittelemien enimmäismääräaikojen puitteissa, kun niitä ei enää tarvita.</t>
  </si>
  <si>
    <t>Vahvempaa tai monivaiheista tunnistautumista vaaditaan käyttö- ja pääsyoikeuksille, joihin liittyy korkeampi riski (tällaisia voivat olla esimerkiksi hallinta- tai ylläpitotunnukset, jaetut tunnukset tai etäyhteyden käyttö).</t>
  </si>
  <si>
    <t>Käyttöoikeuksien vaatimuksissa on huomioitu pienimmän valtuuden periaate (ref. "principle of least privilege").</t>
  </si>
  <si>
    <t>Käyttöoikeuksien vaatimuksissa on huomioitu tehtävien eriyttäminen (ref. "separation of duties").</t>
  </si>
  <si>
    <t>Käyttöoikeuspyynnöt tarkastaa ja hyväksyy kyseisen laitteen, ohjelmiston tai tietovarannon omistaja.</t>
  </si>
  <si>
    <t>Käyttöoikeudet, joihin liittyy korkeampi riski, tarkastetaan perusteellisemmin ja niiden käyttöä valvotaan tarkemmin.</t>
  </si>
  <si>
    <t>Kirjautumis- ja yhteydenmuodostusyrityksiä seurataan ja niissä havaitut poikkeavuudet toimivat kybertapahtumien indikaattoreina.</t>
  </si>
  <si>
    <t>Pääsyoikeuksien vaatimuksissa on huomioitu pienimmän valtuuden periaate (ref. "principle of least privilege").</t>
  </si>
  <si>
    <t>Pääsyoikeuspyynnöt tarkastaa ja hyväksyy kyseisen tilan, laitteen, ohjelmiston tai tietovarannon omistaja.</t>
  </si>
  <si>
    <t>Pääsyoikeudet, joihin liittyy korkeampi riski, tarkastetaan perusteellisemmin ja niiden käyttöä valvotaan tarkemmin.</t>
  </si>
  <si>
    <t>Pääsyoikeudet tarkastetaan ja päivitetään aika ajoin.</t>
  </si>
  <si>
    <t>Pääsyoikeuksien käyttöä seurataan ja niistä pyritään tunnistamaan mahdollisia kybertapahtumia.</t>
  </si>
  <si>
    <t>ACCESS-osion toimintaa varten on määritetty dokumentoidut toimintatavat, joita noudatetaan ja päivitetään säännöllisesti.</t>
  </si>
  <si>
    <t>ACCESS-osion toimintaa varten on tarjolla riittävät resurssit (henkilöstö, rahoitus ja työkalut).</t>
  </si>
  <si>
    <t>ACCESS-osion toimintaa suorittavilla työntekijöillä on riittävät tiedot ja taidot tehtäviensä suorittamiseen.</t>
  </si>
  <si>
    <t>ACCESS-osion toiminnan suorittamiseen tarvittavat vastuut, tilivelvollisuudet ja valtuutukset on jalkautettu soveltuville työntekijöille.</t>
  </si>
  <si>
    <t>ACCESS-osion toiminnan vaikuttavuutta arvioidaan ja seurataan.</t>
  </si>
  <si>
    <t>Lokitukselle on määritetty tarkempia vaatimuksia, joita kohdissa 1a ja 1b kuvattujen laitteiden, ohjelmistojen ja tietovarantojen tulee noudattaa.</t>
  </si>
  <si>
    <t>Lokitieto koostetaan yhteen keskitetysti toiminnon sisällä.</t>
  </si>
  <si>
    <t>Korkean prioriteetin laitteista, ohjelmistoista ja tietovarannoista [kts. ASSET-1d] kerätään perusteellisempaa lokitietoa.</t>
  </si>
  <si>
    <t>Valvonnalle ja havaintojen analysoinnille on määritetty tarkempia vaatimuksia, joita päivitetään säännöllisesti ja jotka kattavat tapahtumatietojen oikea-aikaisen tarkastelun.</t>
  </si>
  <si>
    <t>Kybertapahtumien tunnistamista varten on määritetty erilaisia hälytyksiä ja ilmoituksia, joita päivitetään säännöllisesti.</t>
  </si>
  <si>
    <t>Tarkempaa valvontaa suoritetaan korkean prioriteetin laitteille, ohjelmistoille ja tietovarannoille [kts. ASSET-1d].</t>
  </si>
  <si>
    <t>IT-ympäristöissä (ja mahdollisissa OT-ympäristöissä) suoritetaan jatkuvaa valvontaa poikkeavan toiminnan havaitsemiseksi.</t>
  </si>
  <si>
    <t>Riskianalyyseistä saatua tietoa [kts. RISK-3d] hyödynnetään, kun määritetään poikkeavan toiminnan indikaattoreita.</t>
  </si>
  <si>
    <t>Poikkeavan toiminnan indikaattorit arvioidaan ja päivitetään aika ajoin ja määriteltyjen tilanteiden kuten järjestelmämuutosten tai ulkoisten tapahtumien yhteydessä.</t>
  </si>
  <si>
    <t>Valvontatieto kootaan yhteen toiminnon operatiivisen tilannekuvan muodostamiseksi.</t>
  </si>
  <si>
    <t>Tilannekuvan rikastamiseksi on saatavilla soveltuvaa tietoa eri puolilta organisaatiota.</t>
  </si>
  <si>
    <t>Tilannekuvan raportoinnista on määritetty vaatimuksia, joihin kuuluu oikea-aikaisen kyberturvallisuustiedon jakaminen organisaation määrittelemille sidosryhmille.</t>
  </si>
  <si>
    <t>Valvontatieto kootaan yhteen ja sitä analysoidaan tuottamaan (lähes) reaaliaikaista toiminnon kyberturvallisuuden tilannekuvaa.</t>
  </si>
  <si>
    <t>Tilannekuvan rikastamiseksi kerätään soveltuvaa tietoa organisaation ulkopuolelta. Lisäksi tätä tietoa jaetaan organisaation määrittelemille sisäisille sidosryhmille.</t>
  </si>
  <si>
    <t>Vastaanotetun kyberturvallisuustiedon analysointiin on määritetty toimenpiteet, jotka tukevat tilannekuvan tuottamista.</t>
  </si>
  <si>
    <t>SITUATION-osion toimintaa varten on määritetty dokumentoidut toimintatavat, joita noudatetaan ja päivitetään säännöllisesti.</t>
  </si>
  <si>
    <t>SITUATION-osion toimintaa varten on tarjolla riittävät resurssit (henkilöstö, rahoitus ja työkalut).</t>
  </si>
  <si>
    <t>SITUATION-osion toimintaa suorittavilla työntekijöillä on riittävät tiedot ja taidot tehtäviensä suorittamiseen.</t>
  </si>
  <si>
    <t>SITUATION-osion toiminnan suorittamiseen tarvittavat vastuut, tilivelvollisuudet ja valtuutukset on jalkautettu soveltuville työntekijöille.</t>
  </si>
  <si>
    <t>SITUATION-osion toiminnan vaikuttavuutta arvioidaan ja seurataan.</t>
  </si>
  <si>
    <t>Kybertapahtumista ja niiden havaitsemisesta on laadittu kriteeristö (johon kuuluu esimerkiksi määritelmä tilanteista, jotka täyttävät kybertapahtuman määritelmän tai määritelmä siitä, missä kybertapahtumia voidaan havaita).</t>
  </si>
  <si>
    <t>Kybertapahtumat kirjataan lokiin laaditun kriteeristön mukaisesti.</t>
  </si>
  <si>
    <t>Tapahtumien tietoja verrataan keskenään, jotta niistä tunnistettaisiin mahdollisia säännönmukaisuuksia, trendejä tai muita yhteisiä piirteitä, joilla voitaisiin tukea kyberhäiriöiden analysointityötä.</t>
  </si>
  <si>
    <t>Kybertapahtumien havaitsemistoimia ohjataan tunnistettujen riskien [kts. RISK-2a] ja organisaation uhkaprofiilin perusteella [kts. THREAT-2d].</t>
  </si>
  <si>
    <t>Toiminnon tilannekuvaa seurataan siten, että se tukee mahdollisten kybertapahtumien havaitsemista.</t>
  </si>
  <si>
    <t>Kyberhäiriöiden määrittämisestä on laadittu virallinen kriteeristö, joka perustuu siihen, miten häiriöt voivat vaikuttaa toimintoon.</t>
  </si>
  <si>
    <t>Kybertapahtumat määritetään kyberhäiriöiksi laaditun kriteeristön mukaisesti.</t>
  </si>
  <si>
    <t>Kyberhäiriöiden määrittämisen kriteeristö päivitetään aika ajoin ja määriteltyjen tilanteiden kuten organisaatiomuutosten, harjoitustoiminnasta saatujen kokemusten tai uusien havaittujen uhkien perusteella.</t>
  </si>
  <si>
    <t>Kybertapahtumista ja -häiriöistä pidetään rekisteriä, johon tapahtumat ja häiriöt kirjataan ja jossa niitä seurataan lopputulemiin asti.</t>
  </si>
  <si>
    <t>Kyberturvallisuuden kannalta olennaiset sidosryhmät (esimerkiksi palveluntoimittajat, viranomaiset, toimialan muut organisaatiot, ISAC-ryhmät tai organisaation muut sisäiset ja ulkoiset sidosryhmät) on tunnistettu ja näitä informoidaan kybertapahtumista ja -häiriöistä tilannekuva-osiossa määritettyjen raportointivaatimusten mukaisesti [kts. SITUATION-3d].</t>
  </si>
  <si>
    <t>Kyberhäiriöiden tietoja verrataan keskenään, jotta niistä tunnistettaisiin mahdollisia säännönmukaisuuksia, trendejä tai muita yhteisiä piirteitä.</t>
  </si>
  <si>
    <t>Kybertapahtumiin ja -häiriöihin reagoidaan määriteltyjen suunnitelmien ja prosessien mukaisesti.</t>
  </si>
  <si>
    <t>Kybertapahtumiin ja -häiriöihin reagointi koordinoidaan soveltuvin osin toimittajien, viranomaisten ja muiden ulkopuolisten tahojen kanssa. Tähän kuuluu todistusaineiston kerääminen ja säilyttäminen.</t>
  </si>
  <si>
    <t>Kybertapahtumiin ja -häiriöihin reagoinnissa noudatetaan ennalta määriteltyjä toimintatiloja [kts. SITUATION-3h].</t>
  </si>
  <si>
    <t>Jatkuvuussuunnitelmien kehittämisessä huomioidaan arvio mahdollisten kybertapahtumien vaikutuksista.</t>
  </si>
  <si>
    <t>Jatkuvuussuunnitelmissa on tunnistettu ja dokumentoitu ne laitteet, ohjelmistot ja tietovarannot sekä toiminnat, jotka minimissään tarvitaan toiminnon toiminnan ylläpitämiseksi.</t>
  </si>
  <si>
    <t>Jatkuvuussuunnitelmat testataan arvioimalla ja/tai harjoittelemalla aika ajoin ja määriteltyjen tilanteiden kuten järjestelmämuutosten tai ulkoisten tapahtumien yhteydessä.</t>
  </si>
  <si>
    <t>Varmuuskopiot suojataan vähintään yhtä hyvin mekanismein kuin alkuperäinen tietovaranto on suojattu.</t>
  </si>
  <si>
    <t>Varmuuskopiot on erotettu loogisesti tai fyysisesti alkuperäisestä tietovarannosta.</t>
  </si>
  <si>
    <t>Jatkuvuussuunnitelmiin kuuluu toipumisajan ("RTO, Recovery Time Objective") ja toipumispisteen ("Recovery Point Objective, RPO") määrittely toiminnon kannalta tärkeille laitteille, ohjelmistoille ja tietovarannoille [kts. ASSET-1a, ASSET-2a].</t>
  </si>
  <si>
    <t>Jatkuvuussuunnitelman käyttöönottamisen kriteerit kyberhäiriötilanteissa on määritetty ja viestitty häiriöiden käsittelystä ja valmiussuunnitelmista vastuussa oleville työntekijöille.</t>
  </si>
  <si>
    <t>Jatkuvuusharjoituksissa käsitellään korkean prioriteetin riskit [kts. RISK-3a].</t>
  </si>
  <si>
    <t>Jatkuvuussuunnitelmien testauksesta tai tositilanteista saatuja havaintoja verrataan asetettuihin toipumistavoitteisiin ja suunnitelmia kehitetään näiden havaintojen perusteella.</t>
  </si>
  <si>
    <t>Jatkuvuussuunnitelmien kyberhäiriöihin liittyvä sisältö tarkastetaan ja päivitetään aika ajoin.</t>
  </si>
  <si>
    <t>Jatkuvuussuunnitelmat tarkastetaan ja päivitetään aika ajoin.</t>
  </si>
  <si>
    <t>RESPONSE-osion toimintaa varten on määritetty dokumentoidut toimintatavat, joita noudatetaan ja päivitetään säännöllisesti.</t>
  </si>
  <si>
    <t>RESPONSE-osion toimintaa varten on tarjolla riittävät resurssit (henkilöstö, rahoitus ja työkalut).</t>
  </si>
  <si>
    <t>RESPONSE-osion toimintaa suorittavilla työntekijöillä on riittävät tiedot ja taidot tehtäviensä suorittamiseen.</t>
  </si>
  <si>
    <t>RESPONSE-osion toiminnan suorittamiseen tarvittavat vastuut, tilivelvollisuudet ja valtuutukset on jalkautettu soveltuville työntekijöille.</t>
  </si>
  <si>
    <t>RESPONSE-osion toiminnan vaikuttavuutta arvioidaan ja seurataan.</t>
  </si>
  <si>
    <t>Valintakriteereiden osana on huomioitu asianmukaisesti käyttöiän tai käyttötuen päättymisen ajankohdat.</t>
  </si>
  <si>
    <t>Valintakriteereiden osana on huomioitu asianmukaisesti toimet väärennettyjä tai vaarantuneita ohjelmistoja, laitteita tai palveluita vastaan.</t>
  </si>
  <si>
    <t>Hankittavien laitteiden, ohjelmistojen ja tietovarantojen hyväksyntätestaukseen kuuluu kyberturvallisuusvaatimusten testaus.</t>
  </si>
  <si>
    <t>THIRDPARTY-osion toimintaa varten on määritetty dokumentoidut toimintatavat, joita noudatetaan ja päivitetään säännöllisesti.</t>
  </si>
  <si>
    <t>THIRDPARTY-osion toimintaa varten on tarjolla riittävät resurssit (henkilöstö, rahoitus ja työkalut).</t>
  </si>
  <si>
    <t>THIRDPARTY-osion toimintaa suorittavilla työntekijöillä on riittävät tiedot ja taidot tehtäviensä suorittamiseen.</t>
  </si>
  <si>
    <t>THIRDPARTY-osion toiminnan suorittamiseen tarvittavat vastuut, tilivelvollisuudet ja valtuutukset on jalkautettu soveltuville työntekijöille.</t>
  </si>
  <si>
    <t>THIRDPARTY-osion toiminnan vaikuttavuutta arvioidaan ja seurataan.</t>
  </si>
  <si>
    <t>Kyberturvallisuuteen liittyvät vastuut on dokumentoitu.</t>
  </si>
  <si>
    <t>Kyberturvallisuuteen liittyvät vastuut ja työtehtävien vaatimukset tarkastetaan ja päivitetään aika ajoin ja määriteltyjen tilanteiden kuten järjestelmämuutosten yhteydessä tai organisaatiorakenteen muuttuessa.</t>
  </si>
  <si>
    <t>Kyberturvallisuuskoulutus on edellytyksenä käyttö- tai pääsyoikeuksien myöntämiselle toiminnon kannalta tärkeisiin laitteisiin, ohjelmistoihin ja tietovarantoihin.</t>
  </si>
  <si>
    <t>Erilaisia tarkastuksia suoritetaan sellaisille työntekijöille, joilla on käyttö- tai pääsyoikeus toiminnon kannalta tärkeisiin laitteisiin, ohjelmistoihin tai tietovarantoihin.</t>
  </si>
  <si>
    <t>Työntekijöiden sisäisiin siirtoihin liittyvissä menettelyissä huomioidaan kyberturvallisuus.</t>
  </si>
  <si>
    <t>Käyttäjät ovat tietoisia vastuistaan liittyen laitteiden, ohjelmistojen ja tietovarantojen suojaamiseen ja hyväksyttyyn käyttöön.</t>
  </si>
  <si>
    <t>Kyberturvallisuustietoisuutta kohottaville toimille on määritetty tavoitteita, joita ylläpidetään.</t>
  </si>
  <si>
    <t>Kyberturvallisuustietoisuuden kohottamisen toimien tehokkuutta arvioidaan aika ajoin ja määriteltyjen tilanteiden kuten järjestelmämuutosten tai ulkoisten tapahtumien yhteydessä ja niitä kehitetään tarpeen vaatiessa.</t>
  </si>
  <si>
    <t>WORKFORCE-osion toimintaa varten on määritetty dokumentoidut toimintatavat, joita noudatetaan ja päivitetään säännöllisesti.</t>
  </si>
  <si>
    <t>WORKFORCE-osion toimintaa varten on tarjolla riittävät resurssit (henkilöstö, rahoitus ja työkalut).</t>
  </si>
  <si>
    <t>WORKFORCE-osion toimintaa suorittavilla työntekijöillä on riittävät tiedot ja taidot tehtäviensä suorittamiseen.</t>
  </si>
  <si>
    <t>WORKFORCE-osion toiminnan suorittamiseen tarvittavat vastuut, tilivelvollisuudet ja valtuutukset on jalkautettu soveltuville työntekijöille.</t>
  </si>
  <si>
    <t>WORKFORCE-osion toiminnan vaikuttavuutta arvioidaan ja seurataan.</t>
  </si>
  <si>
    <t>Kyberarkkitehtuuri määrittää kyberturvallisuusvaatimukset toiminnon kannalta tärkeille laitteille, ohjelmistoille ja tietovarannoille.</t>
  </si>
  <si>
    <t>Kyberturvallisuuden suojausmekanismit on valittu ja toteutettu siten, että kyberturvallisuusvaatimukset toteutuvat.</t>
  </si>
  <si>
    <t>Organisaation järjestelmien ja verkkojen vaatimustenmukaisuutta kyberarkkitehtuuriin nähden arvioidaan aika ajoin ja määriteltyjen tilanteiden kuten järjestelmämuutosten tai ulkoisten tapahtumien yhteydessä.</t>
  </si>
  <si>
    <t>Kyberarkkitehtuuri käsittelee ennalta määriteltyjä toimintatiloja [kts. SITUATION-3h].</t>
  </si>
  <si>
    <t>Toiminnon kannalta tärkeät laitteet, ohjelmistot ja tietovarannot on segmentoitu loogisesti tai fyysisesti eri turvallisuusvyöhykkeisiin perustuen niille asetettuihin kyberturvallisuusvaatimuksiin [kts. ASSET-1a, ASSET-2a].</t>
  </si>
  <si>
    <t>Verkkojen suojauksessa huomioidaan pienimmän valtuuden ja pienimmän toiminnallisuuden periaatteet.</t>
  </si>
  <si>
    <t>Kaikki laitteet, ohjelmistot ja tietovarannot on segmentoitu turvallisuusvyöhykkeisiin perustuen niille asetettuihin kybervaatimuksiin.</t>
  </si>
  <si>
    <t>Verkkojen eristys on toteutettu soveltuvin osin siten että laitteet, ohjelmistot ja tietovarannot on segmentoitu loogisesti tai fyysisesti omiin turva-alueisiinsa, joilla on jokaisella oma todentamisensa.</t>
  </si>
  <si>
    <t>Verkkoyhteyksiä suojataan suhteessa niiden organisaatiolle aiheuttamaan riskiin (esimerkiksi suojattujen yhteyksien käyttö etäyhteyden yli tehtävissä hallinta- tai ylläpitotoimissa).</t>
  </si>
  <si>
    <t>Kyberarkkitehtuuri mahdollistaa saastuneiden laitteiden, ohjelmistojen ja tietovarantojen erottamisen muista.</t>
  </si>
  <si>
    <t>Tiukempia suojausmekanismeja käytetään korkean prioriteetin laitteille, ohjelmistoille ja tietovarannoille.</t>
  </si>
  <si>
    <t>Pienimmän käyttöoikeuden periaate on pantu täytäntöön (esimerkiksi rajoittamalla hallinta- tai ylläpitotunnusten oikeuksia).</t>
  </si>
  <si>
    <t>Pienimmän toiminnallisuuden periaate on pantu täytäntöön (esim. rajoittamalla käytettäviä palveluita, ohjelmia, portteja tai liitettäviä laitteita).</t>
  </si>
  <si>
    <t>Turvallisia konfiguraatioita käytetään soveltuvin osin osana laitteiden, ohjelmistojen ja tietovarantojen käyttöönottoprosessia.</t>
  </si>
  <si>
    <t>Tietoturvaohjelmistot vaaditaan soveltuvin osin osana laitteiden konfiguraatiota (esimerkiksi päätelaitteen turva- ja havainnointiratkaisut tai päätelaitekohtaiset palomuuriratkaisut).</t>
  </si>
  <si>
    <t>Siirrettäviä ja irrotettavia muistilaitteita valvotaan (esimerkiksi rajoittamalla USB-laitteiden tai ulkoisten levyjen käyttöä).</t>
  </si>
  <si>
    <t>Suojausmekanismeja on käytössä estämään luvattoman koodin suorittaminen.</t>
  </si>
  <si>
    <t>Sisäisesti kehitettävät ohjelmistot ja sovellukset, jotka on tarkoitettu otettavaksi käyttöön korkean prioriteetin laitteissa tai ohjelmistoissa [kts. ASSET-1d], kehitetään käyttäen turvallisen sovelluskehityksen periaatteita.</t>
  </si>
  <si>
    <t>Korkean prioriteetin laitteisiin tai ohjelmistoihin [kts. ASSET-1d] tehtävien ohjelmisto- ja sovellushankintojen valinnassa huomioidaan noudattaako toimittaja turvallisen sovelluskehityksen periaatteita.</t>
  </si>
  <si>
    <t>Ohjelmistojen ja sovellusten käyttöönottoprosessissa edellytetään turvallisia ohjelmistokonfiguraatioita.</t>
  </si>
  <si>
    <t>Kaikki sisäisesti kehitettävät ohjelmistot ja sovellukset kehitetään käyttäen turvallisen sovelluskehityksen periaatteita.</t>
  </si>
  <si>
    <t>Kaikkien ohjelmisto- ja sovellushankintojen valinnassa huomioidaan noudattaako toimittaja turvallisen sovelluskehityksen periaatteita.</t>
  </si>
  <si>
    <t>Arkkitehtuurikatselmointiprosessissa arvioidaan uusien ja päivitettyjen ohjelmistojen ja sovellusten turvallisuutta ennen niiden vientiä tuotantoon.</t>
  </si>
  <si>
    <t>Ohjelmistojen ja laiteohjelmistojen (firmware) aitous varmistetaan ennen käyttöönottoa.</t>
  </si>
  <si>
    <t>Kaikkea siirrossa olevaa tietoa ("data in transit") suojataan valittujen tietotyyppien osalta [kts. ASSET-2d].</t>
  </si>
  <si>
    <t>Salausmenetelmät ovat käytössä tallennetulle ja siirrossa olevalle tiedolle valittujen tietotyyppien osalta [kts. ASSET-2d].</t>
  </si>
  <si>
    <t>Avaintenhallintainfrastruktuuri (eli avainten luonti, säilytys, tuhoaminen, päivittäminen ja kumoaminen) on käytössä salausmenetelmien tukemiseksi.</t>
  </si>
  <si>
    <t>Käytössä on suojausmekanismeja rajoittamaan tiedon varastamisen mahdollisuutta (esimerkiksi tiedon hävittämistä estävät työkalut).</t>
  </si>
  <si>
    <t>Kyberarkkitehtuuriin kuuluu suojausmekanismeja (esimerkiksi laitteiden kovalevyjen salaus) tiedolle, joka on tallennettu laitteille, jotka saatetaan hukata tai varastaa.</t>
  </si>
  <si>
    <t>Kyberarkkitehtuuri kattaa suojausmenetelmät sovellusten, laiteohjelmistojen (firmware) ja tiedon luvattomien muutosten varalle.</t>
  </si>
  <si>
    <t>ARCHITECTURE-osion toimintaa varten on määritetty dokumentoidut toimintatavat, joita noudatetaan ja päivitetään säännöllisesti.</t>
  </si>
  <si>
    <t>ARCHITECTURE-osion toimintaa varten on tarjolla riittävät resurssit (henkilöstö, rahoitus ja työkalut).</t>
  </si>
  <si>
    <t>ARCHITECTURE-osion toimintaa suorittavilla työntekijöillä on riittävät tiedot ja taidot tehtäviensä suorittamiseen.</t>
  </si>
  <si>
    <t>ARCHITECTURE-osion toiminnan suorittamiseen tarvittavat vastuut, tilivelvollisuudet ja valtuutukset on jalkautettu soveltuville työntekijöille.</t>
  </si>
  <si>
    <t>ARCHITECTURE-osion toiminnan vaikuttavuutta arvioidaan ja seurataan.</t>
  </si>
  <si>
    <t>Kyberturvallisuusstrategia päivitetään vastaamaan muutoksia organisaation liiketoiminnassa, toimintaympäristössä tai uhkaprofiilissa [kts. THREAT-2d].</t>
  </si>
  <si>
    <t>Organisaation ylin johto tukee kyberturvallisuuspolitiikkojen ja -ohjeiden kehittämistä, ylläpitoa ja täytäntöönpanoa.</t>
  </si>
  <si>
    <t>Organisaatio tekee yhteistyötä organisaation ulkopuolisten toimijoiden kanssa osallistuakseen kyberturvallisuuteen liittyvien standardien, ohjeistusten, johtavien käytäntöjen, opittujen kokemusten sekä kehittyvien teknologioiden kehittämiseen ja täytäntöönpanoon.</t>
  </si>
  <si>
    <t>PROGRAM-osion toimintaa varten on määritetty dokumentoidut toimintatavat, joita noudatetaan ja päivitetään säännöllisesti.</t>
  </si>
  <si>
    <t>PROGRAM-osion toimintaa varten on tarjolla riittävät resurssit (henkilöstö, rahoitus ja työkalut).</t>
  </si>
  <si>
    <t>PROGRAM-osion toimintaa suorittavilla työntekijöillä on riittävät tiedot ja taidot tehtäviensä suorittamiseen.</t>
  </si>
  <si>
    <t>PROGRAM-osion toiminnan suorittamiseen tarvittavat vastuut, tilivelvollisuudet ja valtuutukset on jalkautettu soveltuville työntekijöille.</t>
  </si>
  <si>
    <t>PROGRAM-osion toiminnan vaikuttavuutta arvioidaan ja seurataan.</t>
  </si>
  <si>
    <t>KYBERMITTARI-35</t>
  </si>
  <si>
    <t>Uusi</t>
  </si>
  <si>
    <t>Kybermittari V1</t>
  </si>
  <si>
    <t>Kybermittari V2</t>
  </si>
  <si>
    <t>Aiempi käytäntö</t>
  </si>
  <si>
    <t>Uusi käytäntö</t>
  </si>
  <si>
    <t>Aiempi vastaus</t>
  </si>
  <si>
    <t>Uusi vastaus</t>
  </si>
  <si>
    <t>Siirto</t>
  </si>
  <si>
    <t>Muuttunut</t>
  </si>
  <si>
    <t>Vastaava</t>
  </si>
  <si>
    <t>Poistunut</t>
  </si>
  <si>
    <t>=&gt;</t>
  </si>
  <si>
    <t>KYBERMITTARI-36</t>
  </si>
  <si>
    <t>Hämäkkiraportti (R4)</t>
  </si>
  <si>
    <t>Spider report (R4)</t>
  </si>
  <si>
    <t>Management activities report (R5)</t>
  </si>
  <si>
    <t>Yleiset hallintatoimet -raportti (R5)</t>
  </si>
  <si>
    <t>&gt;&gt;&gt;&gt;&gt;</t>
  </si>
  <si>
    <t>INV-THIRDPARTY</t>
  </si>
  <si>
    <t>INVPLAN-THIRDPARTY</t>
  </si>
  <si>
    <t>Kehityskohde</t>
  </si>
  <si>
    <t>Sisäinen viittaus</t>
  </si>
  <si>
    <t>Ulkoinen viittaus</t>
  </si>
  <si>
    <t>Prosessit</t>
  </si>
  <si>
    <t>Järjestelmät</t>
  </si>
  <si>
    <t>Vaikutus muihin organisaatioihin</t>
  </si>
  <si>
    <t>Toimittajat</t>
  </si>
  <si>
    <t>Sisäiset riippuvuudet</t>
  </si>
  <si>
    <t>KM100</t>
  </si>
  <si>
    <t>KM101</t>
  </si>
  <si>
    <t>KM102</t>
  </si>
  <si>
    <t>KM103</t>
  </si>
  <si>
    <t>KM104</t>
  </si>
  <si>
    <t>KM105</t>
  </si>
  <si>
    <t>KM110</t>
  </si>
  <si>
    <t>KM111</t>
  </si>
  <si>
    <t>KM112</t>
  </si>
  <si>
    <t>KM113</t>
  </si>
  <si>
    <t>KM114</t>
  </si>
  <si>
    <t>KM115</t>
  </si>
  <si>
    <t>KM116</t>
  </si>
  <si>
    <t>Processes</t>
  </si>
  <si>
    <t>Systems</t>
  </si>
  <si>
    <t>Impact on other organisations</t>
  </si>
  <si>
    <t>Suppliers</t>
  </si>
  <si>
    <t>Internal dependencies</t>
  </si>
  <si>
    <t>Date</t>
  </si>
  <si>
    <t>Participants</t>
  </si>
  <si>
    <t>Comments</t>
  </si>
  <si>
    <t>Internal reference</t>
  </si>
  <si>
    <t>External reference</t>
  </si>
  <si>
    <t>Development area</t>
  </si>
  <si>
    <t>PREVIOUS ASSESSMENT</t>
  </si>
  <si>
    <t>-</t>
  </si>
  <si>
    <t>Int_reference</t>
  </si>
  <si>
    <t>Ext_reference</t>
  </si>
  <si>
    <t>Development</t>
  </si>
  <si>
    <t>The purpose of network segmentation is to reduce the attack surface. Segmentation can be implemented on physical and/or logical layers. In an optimal situation, there is a well-defined reason for placing each device into the given segment.</t>
  </si>
  <si>
    <t xml:space="preserve">Sufficient controls are implemented for IT and OT assets, taking into account their criticality. Access to assets is limited and only the necessary functions are activated. Standard configuration is applied to each given asset group. Monitoring or security applications are used to improve the security, when feasible. </t>
  </si>
  <si>
    <t>Riittävät ja tarkoituksenmukaiset suojausmekanismit on toteutettu toiminnan kannalta tärkeille laitteille, ohjelmistoille ja tietovarannoille, ottaen huomioon niiden kriittisyyden. Pääsyoikeudet on rajattu ja vain tarvittavat toiminnot on aktivoitu. Vakioituja ja turvallisia konfiguraatioita käytetään. Tietoturvaohjelmistoja ja -komponentteja käytetään soveltuvin osin.</t>
  </si>
  <si>
    <t>Application or software security has a central role in cybersecurity architecture in protecting users and information. Applications must be designed to be resilient and withstand abnormal situations and intentional misuse attempts. It is important to assess security and resilience aspects also when using software from third parties.</t>
  </si>
  <si>
    <t>Cybersecurity architecture protects the information assets. To protect the information, it must first be identified and classified. The protection controls and methods, such as encryption and key management, must be implemented and used systematically.</t>
  </si>
  <si>
    <t>Kyberarkkitehtuuri rakentuu suojattavan tiedon ympärille. Jotta sensitiivistä tietoa voidaan suojata, tulee se ensin tunnistaa ja luokitella. Suojaamiseen käytettävien kontrollien ja keinojen, kuten salauksen ja avaintenhallinnan prosessien, tulee olla toteutettu ja systemaattisessa käytössä.</t>
  </si>
  <si>
    <t>The identified risks are analyzed to understand their potential impact to the organization, to categorize and prioritize them, and to select the appropriate risk treatment strategies and methods (such as mitigate, accept, avoid, or transfer). Risk analysis can be done in varying level of detail, depending on the type of risk and the quality and quantity of information available, but the used method should be consistent across the organization.</t>
  </si>
  <si>
    <t>The implementation of the selected risk responses should be done in a systematic manner, following the prioritization done in the risk analysis. After the implementation, the result should be assessed to ensure that the response has been sufficient and that the risk has been reduced to acceptable level. As the circumstances may change over time, the risk responses may not be adequate in a new situation. Therefore the risk responses should be reviewed periodically for continued relevance and adequacy.</t>
  </si>
  <si>
    <t>Analysoinnin perusteella päätetyt toimenpiteet pitää toteuttaa systemaattisesti ja priorisoinnin mukaisesti. Lopputuloksen tehokkuus ja riittävyys pitää arvioida, jotta nähdään onko jäännösriski hyväksyttävällä tasolla. Koska toimintaympäristö saattaa muuttua ajan kuluessa, tehdyt toimenpiteet pitää jatkossakin arvioida säännöllisesti, jotta varmistutaan että ne edelleen ovat riittävät ja tarkoituksenmukaiset.</t>
  </si>
  <si>
    <t>Henkilöstön johtaminen ja kehittäminen (WORKFORCE)</t>
  </si>
  <si>
    <t>Identiteetin- ja pääsynhallinta (ACCESS)</t>
  </si>
  <si>
    <t>Kyberturvallisuusarkkitehtuuri (ARCHITECTURE)</t>
  </si>
  <si>
    <t>Omaisuuden, muutosten ja konfiguraation hallinta (ASSET)</t>
  </si>
  <si>
    <t>Kriittisten palveluiden suojaaminen (CRITICAL)</t>
  </si>
  <si>
    <t>Tapahtumien ja häiriöiden hallinta, toiminnan jatkuvuus (RESPONSE)</t>
  </si>
  <si>
    <t>Riskienhallinta (RISK)</t>
  </si>
  <si>
    <t>Tilannekuva (SITUATION)</t>
  </si>
  <si>
    <t>Uhkien ja haavoittuvuuksien hallinta (THREAT)</t>
  </si>
  <si>
    <t>Kyberturvallisuuden hallinta (PROGRAM)</t>
  </si>
  <si>
    <t>Tunnistetut haavoittuvuudet, joihin liittyy korkeampi riski, ohjataan eteenpäin organisaation riskienhallintaprosessiin toimenpiteitä varten.</t>
  </si>
  <si>
    <t>Tunnistetut uhat, joihin liittyy korkeampi riski, ohjataan eteenpäin organisaation riskienhallintaprosessiin jatkotoimenpiteitä varten.</t>
  </si>
  <si>
    <t>Uhkien seurannassa ja niihin reagoimisessa noudatetaan ennalta määriteltyjä toimintatiloja [kts. SITUATION-3h].</t>
  </si>
  <si>
    <t>Uhkatietoa käsitellään noudattaen turvallisia ja mahdollisimman reaaliaikaisia menetelmiä, joilla varmistetaan uhkien nopea analysointi ja nopea puuttuminen.</t>
  </si>
  <si>
    <t>Kyberturvallisuusstrategia ja -prioriteetit on dokumentoitu. Strategia ja prioriteetit ovat linjassa organisaation yleisten strategisten tavoitteiden ja kriittiseen infrastruktuuriin kohdistuvien riskien kanssa.</t>
  </si>
  <si>
    <t>Kyberturvallisuusstrategia nimeää ne standardit ja ohjeet, joita tulee noudattaa.</t>
  </si>
  <si>
    <t>Kyberturvallisuuden hallinta perustuu kyberturvallisuusstrategiaan.</t>
  </si>
  <si>
    <t>Riittävät resurssit (henkilöt, rahoitus ja työkalut) on osoitettu kyberturvallisuusstrategian mukaisen kyberturvallisuuden hallinnan toteuttamiseen.</t>
  </si>
  <si>
    <t>Organisaation ylimmän johdon tuki kyberturvallisuuden hallinnalle  on näkyvää ja aktiivista.</t>
  </si>
  <si>
    <t>Vastuu kyberturvallisuuden hallinnasta on osoitettu organisaatiossa taholle, jolla on riittävät toimivaltuudet.</t>
  </si>
  <si>
    <t>Kyberturvallisuuden hallinnan sidosryhmät on tunnistettu ja osallistettu.</t>
  </si>
  <si>
    <t>Kyberturvallisuuden hallinnan toiminta tarkastetaan aika ajoin, jotta varmistetaan että toimet ovat linjassa kyberturvallisuusstrategian kanssa.</t>
  </si>
  <si>
    <t>Riippumaton taho tarkastaa organisaation kyberturvallisuuteen liittyvät toiminnat aika ajoin ja määriteltyjen tilanteiden kuten prosessimuutosten yhteydessä, jotta varmistutaan että toiminta on kyberturvallisuuspolitiikkojen ja -ohjeiden mukaista.</t>
  </si>
  <si>
    <t>Kyberturvallisuuden hallinnassa huomioidaan sääntelyvaatimukset ja luodaan soveltuvin osin edellytykset niiden saavuttamiselle.</t>
  </si>
  <si>
    <t>Kybertapahtumien ja -häiriöiden käsittelyyn ja reagointiin osallistuvat työntekijät ottavat osaa yhteisiin harjoituksiin muiden organisaatioiden kanssa (esim. työpöytäharjoitukset, simulaatiot).</t>
  </si>
  <si>
    <t>Varaosia on saatavilla niitä tarvitseviin IT-laitteisiin (ja mahdollisiin OT-laitteisiin).</t>
  </si>
  <si>
    <t>Kyberriskien tunnistamisessa hyödynnetään useita eri tietolähteitä ja tunnistusmenetelmiä.</t>
  </si>
  <si>
    <t>Korkean prioriteetin kyberriskien ja kyberriskikategorioiden vaikutus arvioidaan noudattaen määriteltyjä menetelmiä (esimerkiksi vertaamalla toteutuneisiin tapauksiin tai kvantifioimalla riski).</t>
  </si>
  <si>
    <t>Korkeamman prioriteetin kyberriskit ja kyberriskikategoriat analysoidaan noudattaen määriteltyjä menetelmiä (esimerkiksi analysoimalla toteutuneiden tapausten yleisyyttä riskin todennäköisyyden arvioimiseksi tai hyödyntämällä suojausmekanismien arvioinneista saatuja tuloksia kohteen riskialttiuden määrittelyyn).</t>
  </si>
  <si>
    <t>Organisaation sidosryhmät soveltuvista operatiivisen toiminnan ja liiketoiminnan yksiköistä osallistuvat korkeamman prioriteetin kyberriskien analysointiin.</t>
  </si>
  <si>
    <t>Kyberriskikategorioiden tai kyberriskien aktiivinen seuranta päätetään vasta sen jälkeen, kun ne eivät enää vaadi seuraamista tai toimenpiteitä.</t>
  </si>
  <si>
    <t>Yritysjohto tarkastaa riskeihin reagoimisen keinot (kuten riskin pienentäminen, hyväksyminen, välttäminen tai siirtäminen) aika ajoin varmistuakseen niiden soveltuvuudesta.</t>
  </si>
  <si>
    <t>Valvontatoimenpiteet ovat linjassa toiminnon uhkaprofiilin kanssa [kts. THREAT-2d].</t>
  </si>
  <si>
    <t>Toiminnon kyberturvallisuuden tilannekuvan viestimiseksi on määritetty menetelmät, joita päivitetään säännöllisesti.</t>
  </si>
  <si>
    <t>Organisaatio on dokumentoinut ennalta määritellyt toimintatilat, jotka voidaan ottaa käyttöön toiminnon kyberturvallisuustilanteen niin vaatiessa ja/tai muiden osioiden toiminnan niin vaatiessa [kts. THREAT-1k, RESPONSE-3h].</t>
  </si>
  <si>
    <t>Henkilöstön kouluttamiseen, rekrytointiin ja vaihtuvuuteen liittyvät toimet ovat linjassa keskenään siten, että havaittuihin henkilöstö- tai osaamispuutteisiin voidaan kohdistaa toimia.</t>
  </si>
  <si>
    <t>Kyberturvallisuustietoisuuden kohottamisen tavoitteet ovat linjassa organisaation määrittämän uhkaprofiilin kanssa [kts. THREAT-2d].</t>
  </si>
  <si>
    <t>Kyberturvallisuustietoisuuden kohottamisen toimenpiteet ovat linjassa organisaation ennalta määriteltyjen toimintatilojen kanssa [kts. SITUATION-3h].</t>
  </si>
  <si>
    <t>Kyberarkkitehtuuri on määritetty, dokumentoitu ja sitä ylläpidetään. Arkkitehtuuri kattaa organisaation IT/OT järjestelmät ja verkot ja se on linjassa järjestelmien, laitteiden, ohjelmistojen ja tietovarantojen kategorisoinnin ja priorisoinnin kanssa.</t>
  </si>
  <si>
    <t>Omaisuuden, muutosten ja konfiguraation hallinnan osiossa arvioidaan organisaation kykyä hallita laite-, ohjelmisto- ja tieto-omaisuuttaan suhteessa organisaatioon kohdistuviin riskeihin ja organisaation tavoitteisiin. Omaisuudella tarkoitetaan tässä yhteydessä toiminnon kannalta olennaisia laitteita, ohjelmistoja ja tietoa. IT-omaisuuden lisäksi tulee huomioida organisaation mahdollinen OT-omaisuus.</t>
  </si>
  <si>
    <t>Kuvaus arvioitavasta toiminnosta</t>
  </si>
  <si>
    <t>Toiminnon yhteiskunnallinen vaikuttavuus</t>
  </si>
  <si>
    <t>2 - Partially implemented</t>
  </si>
  <si>
    <t>3 - Mostly implemented</t>
  </si>
  <si>
    <t>4 - Fully implemented</t>
  </si>
  <si>
    <t>(FIN) Vastaus</t>
  </si>
  <si>
    <t>(FIN) Käytäntö</t>
  </si>
  <si>
    <t>(FIN) Kommentit</t>
  </si>
  <si>
    <t>(FIN) Sisäinen viittaus</t>
  </si>
  <si>
    <t>(FIN) Ulkoinen viittaus</t>
  </si>
  <si>
    <t>(FIN) Kehityskohde</t>
  </si>
  <si>
    <t>(ENG) Domain</t>
  </si>
  <si>
    <t>(ENG) Answer</t>
  </si>
  <si>
    <t>(FIN) Ohjeet tulosten siirtämiseen Kybermittarin versioiden v1 ja v2 välillä.</t>
  </si>
  <si>
    <t>(FIN) Kybermittari v2 tulokset</t>
  </si>
  <si>
    <t>(FIN) Kybermittari v1 tulokset</t>
  </si>
  <si>
    <t>(FIN) Tähän syötetään version 1 mukaiset arviointitulokset (DataExport välilehdeltä kopioituna).</t>
  </si>
  <si>
    <t>(FIN) Kybermittari v1</t>
  </si>
  <si>
    <t>(FIN) Kybermittari v2</t>
  </si>
  <si>
    <t>(FIN) Työkalu laskee automaattisesti uudet version 2 mukaiset arviointitulokset.</t>
  </si>
  <si>
    <r>
      <rPr>
        <b/>
        <sz val="11"/>
        <color rgb="FF0058B1"/>
        <rFont val="Verdana"/>
        <family val="2"/>
        <scheme val="minor"/>
      </rPr>
      <t>1. Kopioi</t>
    </r>
    <r>
      <rPr>
        <sz val="11"/>
        <color rgb="FF0058B1"/>
        <rFont val="Verdana"/>
        <family val="2"/>
        <scheme val="minor"/>
      </rPr>
      <t xml:space="preserve"> aiemmat arviointitulokset versiosta 1 versioon 2.</t>
    </r>
  </si>
  <si>
    <r>
      <rPr>
        <b/>
        <sz val="11"/>
        <color rgb="FF0058B1"/>
        <rFont val="Verdana"/>
        <family val="2"/>
        <scheme val="minor"/>
      </rPr>
      <t xml:space="preserve">3. Kopioi </t>
    </r>
    <r>
      <rPr>
        <sz val="11"/>
        <color rgb="FF0058B1"/>
        <rFont val="Verdana"/>
        <family val="2"/>
        <scheme val="minor"/>
      </rPr>
      <t>käännetyt arviointitulokset Kybermittari v2 Import-välilehdelle.</t>
    </r>
  </si>
  <si>
    <t>Kolmannet
osapuolet</t>
  </si>
  <si>
    <t>Tilanne
kuva</t>
  </si>
  <si>
    <t>Uhkat ja
haavoittuvuudet</t>
  </si>
  <si>
    <t>Omaisuuden
hallinta</t>
  </si>
  <si>
    <t>Tapahtumat
ja häiriöt</t>
  </si>
  <si>
    <t>Kyberturv.
hallinta</t>
  </si>
  <si>
    <t>Henkilöstön
hallinta</t>
  </si>
  <si>
    <t>Verkkojen suojaamiseen kuuluu valittujen turvallisuusvyöhykkeiden verkkoliikenteen valvonta, analysointi ja hallinta (esimerkiksi palomuurit, whitelisting, murtojen havaitsemis- ja estämisjärjestelmät (IDPS)).</t>
  </si>
  <si>
    <t>Mahdolliset OT-verkot ovat toiminnallisesti erillään IT-verkoista siten, että OT-toiminnot eivät häiriinny IT-järjestelmien vikaantuessa. [Tulkintaohje: mikäli OT-verkkoja tai vastaavia ei ole, aseteta käytäntö "täysin toteutetuksi"]</t>
  </si>
  <si>
    <t>Laitteiden yhteyksiä verkkoon hallitaan siten, että vain luvalliset laitteet voivat muodostaa yhteyden (esimerkiksi laitetason pääsynhallinta (NAC)).</t>
  </si>
  <si>
    <t>PR</t>
  </si>
  <si>
    <t>DE</t>
  </si>
  <si>
    <t>RS</t>
  </si>
  <si>
    <t>RC</t>
  </si>
  <si>
    <t>Kyberturvallisuuden nykytila</t>
  </si>
  <si>
    <t>Identify</t>
  </si>
  <si>
    <t>Protect</t>
  </si>
  <si>
    <t>Detect</t>
  </si>
  <si>
    <t>Respond</t>
  </si>
  <si>
    <t>Recover</t>
  </si>
  <si>
    <t>Viiteryhmä</t>
  </si>
  <si>
    <t>Organization has a very limited capability to identify and manage cyber security risks to systems, people, assets, data and critical services. This typically leads to ineffectual resource and cost allocation and to failing to protect the critical services that the organization or external parties are dependent on. There is a high possibility of an unexpected cyber incident taking place that seriously impacts the core processes of the organization.</t>
  </si>
  <si>
    <t>Kybermittariv2</t>
  </si>
  <si>
    <t>NISTv1.1</t>
  </si>
  <si>
    <t>PR.AC-1</t>
  </si>
  <si>
    <t>PR.AC-6</t>
  </si>
  <si>
    <t>PR.AC-7</t>
  </si>
  <si>
    <t>PR.AC-3</t>
  </si>
  <si>
    <t>PR.PT-2</t>
  </si>
  <si>
    <t>PR.PT-3</t>
  </si>
  <si>
    <t>PR.MA-2</t>
  </si>
  <si>
    <t>PR.AC-4</t>
  </si>
  <si>
    <t>DE.CM-3</t>
  </si>
  <si>
    <t>DE.CM-6</t>
  </si>
  <si>
    <t>DE.CM-7</t>
  </si>
  <si>
    <t>PR.AC-2</t>
  </si>
  <si>
    <t>DE.CM-2</t>
  </si>
  <si>
    <t>PR.PT-1</t>
  </si>
  <si>
    <t>ID.AM-6</t>
  </si>
  <si>
    <t>ID.GV-2</t>
  </si>
  <si>
    <t>PR.IP-8</t>
  </si>
  <si>
    <t>PR.AC-5</t>
  </si>
  <si>
    <t>PR.PT-4</t>
  </si>
  <si>
    <t>PR.DS-4</t>
  </si>
  <si>
    <t>PR.DS-5</t>
  </si>
  <si>
    <t>PR.PT-5</t>
  </si>
  <si>
    <t>DE.CM-1</t>
  </si>
  <si>
    <t>PR.DS-6</t>
  </si>
  <si>
    <t>PR.DS-8</t>
  </si>
  <si>
    <t>PR.DS-3</t>
  </si>
  <si>
    <t>DE.CM-4</t>
  </si>
  <si>
    <t>PR.DS-7</t>
  </si>
  <si>
    <t>ID.SC-2</t>
  </si>
  <si>
    <t>PR.IP-3</t>
  </si>
  <si>
    <t>DE.CM-5</t>
  </si>
  <si>
    <t>PR.DS-1</t>
  </si>
  <si>
    <t>PR.DS-2</t>
  </si>
  <si>
    <t>ID.AM-1</t>
  </si>
  <si>
    <t>ID.AM-2</t>
  </si>
  <si>
    <t>ID.AM-5</t>
  </si>
  <si>
    <t>ID.BE-4</t>
  </si>
  <si>
    <t>ID.RA-5</t>
  </si>
  <si>
    <t>PR.IP-6</t>
  </si>
  <si>
    <t>ID.AM-3</t>
  </si>
  <si>
    <t>PR.IP-1</t>
  </si>
  <si>
    <t>PR.MA-1</t>
  </si>
  <si>
    <t>PR.IP-2</t>
  </si>
  <si>
    <t>PR.IP-5</t>
  </si>
  <si>
    <t>ID.BE-2</t>
  </si>
  <si>
    <t>ID.AM-4</t>
  </si>
  <si>
    <t>ID.BE-1</t>
  </si>
  <si>
    <t>ID.GV-1</t>
  </si>
  <si>
    <t>ID.SC-1</t>
  </si>
  <si>
    <t>ID.BE-3</t>
  </si>
  <si>
    <t>PR.AT-4</t>
  </si>
  <si>
    <t>ID.GV-4</t>
  </si>
  <si>
    <t>ID.RM-1</t>
  </si>
  <si>
    <t>ID.BE-5</t>
  </si>
  <si>
    <t>PR.IP-9</t>
  </si>
  <si>
    <t>RS.RP-1</t>
  </si>
  <si>
    <t>RS.CO-1</t>
  </si>
  <si>
    <t>ID.SC-5</t>
  </si>
  <si>
    <t>RS.CO-4</t>
  </si>
  <si>
    <t>RS.CO-2</t>
  </si>
  <si>
    <t>RS.CO-3</t>
  </si>
  <si>
    <t>ID.GV-3</t>
  </si>
  <si>
    <t>DE.AE-3</t>
  </si>
  <si>
    <t>DE.DP-1</t>
  </si>
  <si>
    <t>DE.DP-4</t>
  </si>
  <si>
    <t>DE.DP-2</t>
  </si>
  <si>
    <t>RS.AN-1</t>
  </si>
  <si>
    <t>DE.AE-2</t>
  </si>
  <si>
    <t>DE.DP-5</t>
  </si>
  <si>
    <t>DE.AE-5</t>
  </si>
  <si>
    <t>RS.AN-4</t>
  </si>
  <si>
    <t>DE.AE-4</t>
  </si>
  <si>
    <t>RS.AN-2</t>
  </si>
  <si>
    <t>DE.DP-3</t>
  </si>
  <si>
    <t>RC.CO-3</t>
  </si>
  <si>
    <t>RC.RP-1</t>
  </si>
  <si>
    <t>RS.MI-1</t>
  </si>
  <si>
    <t>RS.MI-2</t>
  </si>
  <si>
    <t>RC.CO-2</t>
  </si>
  <si>
    <t>PR.IP-10</t>
  </si>
  <si>
    <t>RC.IM-1</t>
  </si>
  <si>
    <t>RC.IM-2</t>
  </si>
  <si>
    <t>RS.IM-1</t>
  </si>
  <si>
    <t>RS.IM-2</t>
  </si>
  <si>
    <t>RS.AN-3</t>
  </si>
  <si>
    <t>PR.IP-4</t>
  </si>
  <si>
    <t>RS.MI-3</t>
  </si>
  <si>
    <t>ID.RA-6</t>
  </si>
  <si>
    <t>DE.CM-8</t>
  </si>
  <si>
    <t>ID.RM-2</t>
  </si>
  <si>
    <t>DE.AE-1</t>
  </si>
  <si>
    <t>RS.CO-5</t>
  </si>
  <si>
    <t>ID.SC-3</t>
  </si>
  <si>
    <t>ID.SC-4</t>
  </si>
  <si>
    <t>ID.RA-1</t>
  </si>
  <si>
    <t>ID.RA-2</t>
  </si>
  <si>
    <t>RS.AN-5</t>
  </si>
  <si>
    <t>ID.RA-3</t>
  </si>
  <si>
    <t>ID.RA-4</t>
  </si>
  <si>
    <t>PR.IP-12</t>
  </si>
  <si>
    <t>PR.AT-2</t>
  </si>
  <si>
    <t>PR.AT-3</t>
  </si>
  <si>
    <t>PR.AT-5</t>
  </si>
  <si>
    <t>PR.IP-11</t>
  </si>
  <si>
    <t>PR.AT-1</t>
  </si>
  <si>
    <t>Result</t>
  </si>
  <si>
    <t>Kyberhäiriöiden reagoimisen varalle on luotu suunnitelma, jota pidetään yllä ja joka kattaa koko häiriönhallinnan elinkaaren.</t>
  </si>
  <si>
    <t>MGMT-ID</t>
  </si>
  <si>
    <t>MGMT-PR</t>
  </si>
  <si>
    <t>MGMT-DE</t>
  </si>
  <si>
    <t>MGMT-RS</t>
  </si>
  <si>
    <t>MGMT-RC</t>
  </si>
  <si>
    <t>Havainnointi</t>
  </si>
  <si>
    <t>MGMT-DE-0</t>
  </si>
  <si>
    <t>Organization has a very limited capability to detect cyber incidents as they happen. Typically this means that response activities are delayed significantly and happen after major breach and damage an attacker wants to cause will realize in full.</t>
  </si>
  <si>
    <t>Organisaatiolla on hyvin rajoittunut kyky havaita kyberturvallisuushäiriöitä niiden tapahtuessa. Tyypillisesti tämä tarkoittaa, että torjuntatoimenpiteet viivästyvät merkittävästi ja tapahtuvat vasta merkittävän tietovuodon tai vahingon jälkeen. Hyökkääjän haluamat vaikutukset realisoituvat yleensä kokonaisuudessaan.</t>
  </si>
  <si>
    <t>MGMT-DE-1</t>
  </si>
  <si>
    <t xml:space="preserve">Organization has a basic capability to collect data, but the ability to detect cyber incidents is hampered by the data quality and coverage and also by the analysis capablity. Typically this means that response is delayed and the actions are not based on full understanding of the situation, leaving the organization exposed to major breaches and damage despite of the initiated response. </t>
  </si>
  <si>
    <t>Organisaatiolla on peruskyvykkyys kerätä tietoja, mutta kyvykkyys havaita kyberturvallisuushäiriöitä on osittain puutteellinen tiedon laadun ja kattavuuden sekä analysointikyvyissä olevien puutteiden vuoksi. Tyypillisesti tämä tarkoittaa, että torjuntatoimenpiteet viivästyvät ja päätökset eivät perustu tapahtuman kokonaisymmärrykseen jättäen organisaation haavoittuvaksi merkittävään tietovuotoon tai vahinkoon, huolimatta toteutetuista toimenpiteistä.</t>
  </si>
  <si>
    <t>MGMT-DE-2</t>
  </si>
  <si>
    <t>Organization has a good capability to collect and analyse the data needed to detect a cyber incident in a timely fashion and to maintain a reasonable level of situational awareness. This typically means that there is a good possibility to initiate the response while the incident is still ongoing, and that the actions are scaled correctly. This can enable the organization to limit the damages although not avoid them completely.</t>
  </si>
  <si>
    <t>Organisaatiolla on hyvä kyvykkyys kerätä ja analysoida tietoja kyberturvallisuushäiriöiden tunnistamiseksi ajoissa ja riittävän tilannekuvan ylläpitämiseksi. Tyypillisesti tämä tarkoittaa, että on olemassa hyvä todennäköisyys torjuntatoimenpiteiden aloittamiselle häiriön ollessa käynnissä ja, että torjuntatoimenpiteet ovat oikein mitoitettuja. Tämän avulla organisaation on mahdollista rajoittaa haittoja vaikka niitä ei voitaisi kokonaan estää.</t>
  </si>
  <si>
    <t>MGMT-DE-3</t>
  </si>
  <si>
    <t>Organization has an excellent capability to collect, correlate and analyze relevant data. Typically this means that  cyber incidents are detected early, which makes it possible to initiate response quickly. As a result, the organization has good possibilities to limit or even prevent the damage as the attack is happening.</t>
  </si>
  <si>
    <t>Organisaatiolla on erinomainen kyvykkyys kerätä, korreloida ja analysoida häiriöiden kannalta olennaisia tietoja. Tyypillisesti tämä tarkoittaa, että kyberturvallisuushäiriöt havainnoidaan ajoissa, mikä mahdollistaa nopean reagoinnin. Tämän seurauksena organisaatiolla on hyvät mahdollisuudet rajoittaa tai jopa estää vahingot samanaikaisesti kuin hyökkäys tapahtuu.</t>
  </si>
  <si>
    <t>Tunnistaminen</t>
  </si>
  <si>
    <t>MGMT-ID-0</t>
  </si>
  <si>
    <t>Organisaatiolla on hyvin rajoittunut kyky tunnistaa ja hallita kyberturvallisuusriskejä järjestelmiin, henkilöstöön, suojattaviin kohteisiin, tietoihin ja kriittisiin palveluihin liittyen. Tyypillisesti tämä johtaa resurssien ja investointien tehottomaan kohdentamiseen sekä epäonnistumiseen niiden kriittisten palveluiden suojaamisessa, joista organisaatio tai ulkoiset tahot ovat riippuvaisia. On olemassa korkea todennäköisyys odottamattomaan kyberturvallisuushäiriöön, joka vaikuttaa merkittävästi organisaation ydinprosesseihin.</t>
  </si>
  <si>
    <t>MGMT-ID-1</t>
  </si>
  <si>
    <t>Organization has a basic capability to identify and manage cyber security risks to systems, people, assets, data and critical services, but it may not be systematic and may not take into account the full business context or organization's context in the society, and therefore may still fail to identify and manage some important risks. This typically means that at least part of the resources are used non-optimally and actions may fail to address the most important cyber risks.</t>
  </si>
  <si>
    <t>Organisaatiolla on peruskyvykkyys tunnistaa ja hallita kyberturvallisuusriskejä järjestelmiin, henkilöstöön, suojattaviin kohteisiin, tietoihin ja kriittisiin palveluihin liittyen, mutta prosessi ei välttämättä ole systemaattinen eikä se huomioi koko liiketoimintakontekstia tai organisaatiota osana yhteiskuntaa, joka voi puolestaan johtaa puutteisiin merkittävien riskien tunnistamisessa ja hallinnassa. Tyypillisesti tämä tarkoittaa, että ainakin osa resursseista ei ole käytössä optimaalisesti ja tehtävät toimenpiteet eivät välttämättä kohdistu merkittävimpiin kyberturvallisuusriskeihin.</t>
  </si>
  <si>
    <t>MGMT-ID-2</t>
  </si>
  <si>
    <t>Organization has a good capability to identify and manage cyber security risks to systems, people, assets, data and critical services, but some weak areas exist. This typically means that some unmitigated cyber risks remain that weaken the overall resiliency of the organization.</t>
  </si>
  <si>
    <t>Organisaatiolla on hyvä kyvykkyys tunnistaa ja hallita kyberturvallisuusriskejä järjestelmiin, henkilöstöön, suojattaviin kohteisiin, tietoihin ja kriittisiin palveluihin liittyen, mutta joitain heikompia osa-alueita myös löytyy. Tyypillisesti tämä tarkoittaa sitä, että joitain kyberturvallisuusriskejä ei ole hallittu ja tämä heikentää organisaation yleistä toipumiskykyä.</t>
  </si>
  <si>
    <t>MGMT-ID-3</t>
  </si>
  <si>
    <t>Organization has an excellent capability to identify and manage cyber security risks to systems, people, assets, data and critical services. This typically means that the actions and resources are optimally targeted based on the criticality and risks. It is unlikely that the organization will be faced with previously unidentified cyber incidents.</t>
  </si>
  <si>
    <t>Organisaatiolla on erinomainen kyvykkyys tunnistaa ja hallita kyberturvallisuusriskejä järjestelmiin, henkilöstöön, suojattaviin kohteisiin, tietoihin ja kriittisiin palveluihin liittyen. Tyypillisesti tämä tarkoittaa, että tehtävät toimenpiteet ja resurssit ovat optimaalisesti kohdistettu kriittisyyden ja riskien perusteella. On epätodennäköistä, että organisaatio kohtaisi aikaisemmin tunnistamattomia kyberturvallisuushäiriöitä.</t>
  </si>
  <si>
    <t>Suojautuminen</t>
  </si>
  <si>
    <t>MGMT-PR-0</t>
  </si>
  <si>
    <t>Organization has a very limited capability to protect its critical services from cyber security threats and incidents. This typically means that the organization will have a large number of incidents and/or their impact is significantly higher than necessary, leading to unnecessarily high brand damage, costs and internal and external impact. This is emphasised even further if the detection capability is low.</t>
  </si>
  <si>
    <t>Organisaatiolla on hyvin rajoittunut kyky suojata sen kriittisiä palveluita kyberturvallisuusuhilta ja -häiriöiltä. Tyypillisesti tämä tarkoittaa, että organisaatio kohtaa suuria määriä häiriöitä ja/tai niiden vaikutukset ovat merkittävästi suurempia kuin on tarpeen, johtavat tarpeettoman suuriin mainevaikutuksiin, kustannuksiin ja sisäisiin/ulkoisiin vaikutuksiin. Tämä korostuu entisestään jos tunnistuskyvykkyys on alhainen.</t>
  </si>
  <si>
    <t>MGMT-PR-1</t>
  </si>
  <si>
    <t>Organization has a basic capability to protect its critical services from cyber security threats and incidents, but its coverage is not systematic, having several weak control areas. This typically means that the protection activities may not be targeted and scaled based on the criticality of service or information, leading on one hand to wasteful allocation of resources and money, and on the other hand to not protecting all critical services.</t>
  </si>
  <si>
    <t>Organisaatiolla on peruskyvykkyys suojella sen kriittisiä palveluita kyberturvallisuusuhilta ja -häiriöiltä, mutta sen kattavuus ei ole systemaattinen, sisältäen useita heikkoja osa-alueita. Tyypillisesti tämä tarkoittaa, että suojaustoimenpiteitä ei välttämättä ole kohdistettu ja skaalattu palveluiden ja tiedon kriittisyyden perusteella. Tämä johtaa toisaalta resurssien ja investointien puutteelliseen kohdistamaan sekä toisaalta puutteisiin kriittisten palveluiden suojaamisessa.</t>
  </si>
  <si>
    <t>MGMT-PR-2</t>
  </si>
  <si>
    <t>Organization has a good capability to protect its critical services from cyber security threats and incidents, but it still has some weak control areas. This typically means that while all critical services and information may be covered, the implementation leaves grey areas or gaps in the protection, leading to unnecessarily high cost and number of incidents.</t>
  </si>
  <si>
    <t>Organisaatiolla on hyvä kyvykkyys suojata sen kriittisiä palveluita kyberturvallisuusuhilta ja -häiriöiltä, mutta joitain heikompia osa-alueita on. Tyypillisesti tämä tarkoittaa harmaita alueita tai puutteita suojauksessa, vaikka kaikki kriittiset palvelut ja tiedot ovatkin suojattuna. Tämä voi johtaa tarpeettoman suuriin kustannuksiin ja häiriöiden määrään.</t>
  </si>
  <si>
    <t>MGMT-PR-3</t>
  </si>
  <si>
    <t xml:space="preserve">Organization has an excellent capability to protect its critical services from the cyber security threats and incidents, covering all major aspects of the business. This typically means that there are significantly less incidents and their internal and external impact is smaller, leading to lower costs and impact on brand damage. </t>
  </si>
  <si>
    <t>Organisaatiolla on erinomainen kyvykkyys suojella sen kriittisiä palveluita kyberturvallisuusuhilta ja -häiriöiltä kaikilla sen merkittävillä liiketoiminta-alueilla. Tyypillisesti tämä tarkoittaa, että organisaatiossa tapahtuu vähemmän häiriöitä ja niiden sisäiset ja ulkoiset vaikutukset ovat pienempiä, joka johtaa pienempiin kustannuksiin ja mainehaittoihin.</t>
  </si>
  <si>
    <t>Palautuminen</t>
  </si>
  <si>
    <t>MGMT-RC-0</t>
  </si>
  <si>
    <t>Organization has a very limited capability to initiate and execute recovery from the damage caused by a cyber incident. This typically means that the recovery will take unnecessarily long and therefore may significantly increase the brand damage, cost and impact of the incident.</t>
  </si>
  <si>
    <t>Organisaatiolla on hyvin rajoittunut kyky käynnistää ja toteuttaa tarvittavat palautumistoimenpiteet kyberhyökkäyksestä toipumiseen. Tyypillisesti tämä tarkoittaa, että toipuminen kestää pitkään ja sen seurauksena mainehaitta, kustannukset ja häiriön vaikutukset voivat kohota merkittävästi.</t>
  </si>
  <si>
    <t>MGMT-RC-1</t>
  </si>
  <si>
    <t>Organization has a basic capability to initiate and execute recovery from the damage caused by a cyber incident. This typically means that recovery may not cover all aspects of the business,  may not be executed in the optimal order, or the recovery speed may not fulfill the business needs, leading to brand damage, costs and impact that would otherwise be possible to avoid.</t>
  </si>
  <si>
    <t>Organisaatiolla on peruskyvykkyys käynnistää ja toteuttaa tarvittavat palautumistoimenpiteet kyberhyökkäyksestä toipumiseen. Tyypillisesti tämä tarkoittaa, että palautuminen ei välttämättä kata kaikkia liiketoiminta-alueita, palautumistoimenpiteitä ei toteuteta optimaalisessa järjestyksessä, tai palautumisnopeus ei täytä liiketoiminnan vaatimuksia. Tämä  voi johtaa mainehaitan, kustannusten tai häiriön vaikutusten kohoamiseen, jotka olisi muuten voitu estää.</t>
  </si>
  <si>
    <t>MGMT-RC-2</t>
  </si>
  <si>
    <t>Organization has a good capability to initiate a timely and coordinated recovery from the damage caused by a cyber incident. This typically means that the recovery is able to keep the brand damage, costs and impact within acceptable level, in most cases.</t>
  </si>
  <si>
    <t>Organisaatiolla on hyvä kyvykkyys käynnistää ja toteuttaa tarvittavat palautumistoimenpiteet kyberhyökkäyksestä toipumiseen. Tyypillisesti tämä tarkoittaa, että organisaation on mahdollista pitää syntyvä mainehaitta, kustannukset ja häiriön aiheuttamat vaikutukset hyväksytyllä tasolla, suurimmassa osassa tapauksia.</t>
  </si>
  <si>
    <t>MGMT-RC-3</t>
  </si>
  <si>
    <t>Organization has an excellent capability to initiate and execute recovery from the damage caused by a cyber incident. This typically means that the recovery can be done in a predictable time and in an optimal order, making it possible in some cases to significantly reduce the brand damage, cost and impact of the incident.</t>
  </si>
  <si>
    <t>Organisaatiolla on erinomainen kyvykkyys käynnistää ja toteuttaa tarvittavat palautumistoimenpiteet kyberhyökkäyksestä toipumiseen. Tyypillisesti tämä tarkoittaa, että palautumistoimenpiteet saadaan tehtyä ennustettavassa ajassa ja optimaalisessa järjestyksessä. Tämä mahdollistaa jossain tapauksissa häiriön aiheuttamien mainehaittojen, kustannusten ja muiden vaikutusten pienentämisen.</t>
  </si>
  <si>
    <t>Reagointi</t>
  </si>
  <si>
    <t>MGMT-RS-0</t>
  </si>
  <si>
    <t>Organization has a very limited capability to initiate a timely and coordinated response to a cyber incident. Typically this means that even if detection has been done early, it is still likely that the breach and damage cannot be prevented or limited.</t>
  </si>
  <si>
    <t>Organisaatiolla on hyvin rajoittunut kyky aloittaa oikea-aikaiset ja koordinoidut torjuntatoimenpiteet kyberhyökkäyksiin vastaamiseksi. Tyypillisesti tämä tarkoittaa, että vaikka hyökkäys on tunnistettu ajoissa on edelleen todennäköistä, että hyökkäystä ja vahinkoja ei voida estää tai rajoittaa.</t>
  </si>
  <si>
    <t>MGMT-RS-1</t>
  </si>
  <si>
    <t>Organization has a basic capability to initiate a timely response to a cyber incident, but the process may not be well coordinated and rehearsed. Typically this means that even if the detection has been done early, it is still likely that the response is not able to contain the breach and damage.</t>
  </si>
  <si>
    <t>Organisaatiolla on peruskyvykkyys aloittaa oikea-aikaiset torjuntatoimenpiteet kyberhyökkäyksiin vastaamiseksi, mutta prosessi ei välttämättä ole hyvin koordinoitu ja harjoiteltu. Tyypillisesti tämä tarkoittaa, että vaikka hyökkäys on tunnistettu ajoissa on edelleen todennäköistä, että torjuntatoimenpiteet eivät estä tai rajoita hyökkäystä ja sen aiheuttamia vahinkoja.</t>
  </si>
  <si>
    <t>MGMT-RS-2</t>
  </si>
  <si>
    <t>Organization has a good capability to initiate a timely and coordinated response to a cyber incident. Typically this means that if the detection has been done early, it is possible that the breach and damage can be contained at least to some extent.</t>
  </si>
  <si>
    <t>Organisaatiolla on hyvä kyvykkyys aloittaa oikea-aikaiset ja koordinoidut torjuntatoimenpiteet kyberhyökkäyksiin vastaamiseksi. Tyypillisesti tämä tarkoittaa, että jos hyökkäys on tunnistettu ajoissa on mahdollista, että hyökkäystä ja sen aiheuttamia vahinkoja pystytään rajoittamaan tiettyyn pisteeseen asti.</t>
  </si>
  <si>
    <t>MGMT-RS-3</t>
  </si>
  <si>
    <t xml:space="preserve">Organization has an excellent capability to initiate a timely and coordinated response to a cyber incident. This typically means that if the detection is done early, it is likely that the breach and damage can be contained and in some cases even prevented. </t>
  </si>
  <si>
    <t>Organisaatiolla on erinomainen kyvykkyys aloittaa oikea-aikaiset ja koordinoidut torjuntatoimenpiteet kyberhyökkäyksiin vastaamiseksi. Tyypillisesti tämä tarkoittaa, että jos hyökkäys on tunnistettu ajoissa on todennäköistä, että hyökkäys ja sen aiheuttamat vahingot pystytään rajoittamaan tai jopa estämään.</t>
  </si>
  <si>
    <t>NIST Cybersecurity Framework Core</t>
  </si>
  <si>
    <t>Description</t>
  </si>
  <si>
    <t>Subcategory</t>
  </si>
  <si>
    <t>ID.AM</t>
  </si>
  <si>
    <t xml:space="preserve">Asset Management </t>
  </si>
  <si>
    <t>The data, personnel, devices, systems, and facilities that enable the organization to achieve business purposes are identified and managed consistent with their relative importance to organizational objectives and the organization’s risk strategy.</t>
  </si>
  <si>
    <t>Physical devices and systems within the organization are inventoried</t>
  </si>
  <si>
    <t/>
  </si>
  <si>
    <t>Software platforms and applications within the organization are inventoried</t>
  </si>
  <si>
    <t>Organizational communication and data flows are mapped</t>
  </si>
  <si>
    <t>External information systems are catalogued</t>
  </si>
  <si>
    <t xml:space="preserve">Resources (e.g., hardware, devices, data, time, personnel, and software) are prioritized based on their classification, criticality, and business value </t>
  </si>
  <si>
    <t>Cybersecurity roles and responsibilities for the entire workforce and third-party stakeholders (e.g., suppliers, customers, partners) are established</t>
  </si>
  <si>
    <t>ID.BE</t>
  </si>
  <si>
    <t xml:space="preserve">Business Environment </t>
  </si>
  <si>
    <t>The organization’s mission, objectives, stakeholders, and activities are understood and prioritized; this information is used to inform cybersecurity roles, responsibilities, and risk management decisions.</t>
  </si>
  <si>
    <t>The organization’s role in the supply chain is identified and communicated</t>
  </si>
  <si>
    <t>The organization’s place in critical infrastructure and its industry sector is identified and communicated</t>
  </si>
  <si>
    <t>Priorities for organizational mission, objectives, and activities are established and communicated</t>
  </si>
  <si>
    <t>Dependencies and critical functions for delivery of critical services are established</t>
  </si>
  <si>
    <t>Resilience requirements to support delivery of critical services are established for all operating states (e.g. under duress/attack, during recovery, normal operations)</t>
  </si>
  <si>
    <t>ID.GV</t>
  </si>
  <si>
    <t xml:space="preserve">Governance </t>
  </si>
  <si>
    <t>The policies, procedures, and processes to manage and monitor the organization’s regulatory, legal, risk, environmental, and operational requirements are understood and inform the management of cybersecurity risk.</t>
  </si>
  <si>
    <t>Organizational cybersecurity policy is established and communicated</t>
  </si>
  <si>
    <t>Cybersecurity roles and responsibilities are coordinated and aligned with internal roles and external partners</t>
  </si>
  <si>
    <t>Legal and regulatory requirements regarding cybersecurity, including privacy and civil liberties obligations, are understood and managed</t>
  </si>
  <si>
    <t>Governance and risk management processes address cybersecurity risks</t>
  </si>
  <si>
    <t>ID.RA</t>
  </si>
  <si>
    <t xml:space="preserve">Risk Assessment </t>
  </si>
  <si>
    <t>The organization understands the cybersecurity risk to organizational operations (including mission, functions, image, or reputation), organizational assets, and individuals.</t>
  </si>
  <si>
    <t>Asset vulnerabilities are identified and documented</t>
  </si>
  <si>
    <t>Cyber threat intelligence is received from information sharing forums and sources</t>
  </si>
  <si>
    <t>Threats, both internal and external, are identified and documented</t>
  </si>
  <si>
    <t>Potential business impacts and likelihoods are identified</t>
  </si>
  <si>
    <t>Threats, vulnerabilities, likelihoods, and impacts are used to determine risk</t>
  </si>
  <si>
    <t>Risk responses are identified and prioritized</t>
  </si>
  <si>
    <t>ID.RM</t>
  </si>
  <si>
    <t xml:space="preserve">Risk Management Strategy </t>
  </si>
  <si>
    <t>The organization’s priorities, constraints, risk tolerances, and assumptions are established and used to support operational risk decisions.</t>
  </si>
  <si>
    <t>Risk management processes are established, managed, and agreed to by organizational stakeholders</t>
  </si>
  <si>
    <t>Organizational risk tolerance is determined and clearly expressed</t>
  </si>
  <si>
    <t>ID.RM-3</t>
  </si>
  <si>
    <t>The organization’s determination of risk tolerance is informed by its role in critical infrastructure and sector specific risk analysis</t>
  </si>
  <si>
    <t>ID.SC</t>
  </si>
  <si>
    <t xml:space="preserve">Supply Chain Risk Management </t>
  </si>
  <si>
    <t>The organization’s priorities, constraints, risk tolerances, and assumptions are established and used to support risk decisions associated with managing supply chain risk. The organization has established and implemented the processes to identify, assess and manage supply chain risks.</t>
  </si>
  <si>
    <t>Cyber supply chain risk management processes are identified, established, assessed, managed, and agreed to by organizational stakeholders</t>
  </si>
  <si>
    <t xml:space="preserve">Suppliers and third party partners of information systems, components, and services are identified, prioritized, and assessed using a cyber supply chain risk assessment process </t>
  </si>
  <si>
    <t>Contracts with suppliers and third-party partners are used to implement appropriate measures designed to meet the objectives of an organization’s cybersecurity program and Cyber Supply Chain Risk Management Plan.</t>
  </si>
  <si>
    <t>Suppliers and third-party partners are routinely assessed using audits, test results, or other forms of evaluations to confirm they are meeting their contractual obligations.</t>
  </si>
  <si>
    <t>Response and recovery planning and testing are conducted with suppliers and third-party providers</t>
  </si>
  <si>
    <t>PR.AC</t>
  </si>
  <si>
    <t xml:space="preserve">Identity Management, Authentication and Access Control </t>
  </si>
  <si>
    <t>Access to physical and logical assets and associated facilities is limited to authorized users, processes, and devices, and is managed consistent with the assessed risk of unauthorized access to authorized activities and transactions.</t>
  </si>
  <si>
    <t>Identities and credentials are issued, managed, verified, revoked, and audited for authorized devices, users and processes</t>
  </si>
  <si>
    <t>Physical access to assets is managed and protected</t>
  </si>
  <si>
    <t>Remote access is managed</t>
  </si>
  <si>
    <t>Access permissions and authorizations are managed, incorporating the principles of least privilege and separation of duties</t>
  </si>
  <si>
    <t>Network integrity is protected (e.g., network segregation, network segmentation)</t>
  </si>
  <si>
    <t>Identities are proofed and bound to credentials and asserted in interactions</t>
  </si>
  <si>
    <t>Users, devices, and other assets are authenticated (e.g., single-factor, multi-factor) commensurate with the risk of the transaction (e.g., individuals’ security and privacy risks and other organizational risks)</t>
  </si>
  <si>
    <t>PR.AT</t>
  </si>
  <si>
    <t xml:space="preserve">Awareness and Training </t>
  </si>
  <si>
    <t>The organization’s personnel and partners are provided cybersecurity awareness education and are trained to perform their cybersecurity-related duties and responsibilities consistent with related policies, procedures, and agreements.</t>
  </si>
  <si>
    <t xml:space="preserve">All users are informed and trained </t>
  </si>
  <si>
    <t xml:space="preserve">Privileged users understand their roles and responsibilities </t>
  </si>
  <si>
    <t xml:space="preserve">Third-party stakeholders (e.g., suppliers, customers, partners) understand their roles and responsibilities </t>
  </si>
  <si>
    <t xml:space="preserve">Senior executives understand their roles and responsibilities </t>
  </si>
  <si>
    <t xml:space="preserve">Physical and cybersecurity personnel understand their roles and responsibilities </t>
  </si>
  <si>
    <t>PR.DS</t>
  </si>
  <si>
    <t xml:space="preserve">Data Security </t>
  </si>
  <si>
    <t>Information and records (data) are managed consistent with the organization’s risk strategy to protect the confidentiality, integrity, and availability of information.</t>
  </si>
  <si>
    <t>Data-at-rest is protected</t>
  </si>
  <si>
    <t>Data-in-transit is protected</t>
  </si>
  <si>
    <t>Assets are formally managed throughout removal, transfers, and disposition</t>
  </si>
  <si>
    <t>Adequate capacity to ensure availability is maintained</t>
  </si>
  <si>
    <t>Protections against data leaks are implemented</t>
  </si>
  <si>
    <t>Integrity checking mechanisms are used to verify software, firmware, and information integrity</t>
  </si>
  <si>
    <t>The development and testing environment(s) are separate from the production environment</t>
  </si>
  <si>
    <t>Integrity checking mechanisms are used to verify hardware integrity</t>
  </si>
  <si>
    <t>PR.IP</t>
  </si>
  <si>
    <t xml:space="preserve">Information Protection Processes and Procedures </t>
  </si>
  <si>
    <t>Security policies (that address purpose, scope, roles, responsibilities, management commitment, and coordination among organizational entities), processes, and procedures are maintained and used to manage protection of information systems and assets.</t>
  </si>
  <si>
    <t>A baseline configuration of information technology/industrial control systems is created and maintained incorporating security principles (e.g. concept of least functionality)</t>
  </si>
  <si>
    <t>A System Development Life Cycle to manage systems is implemented</t>
  </si>
  <si>
    <t>Configuration change control processes are in place</t>
  </si>
  <si>
    <t xml:space="preserve">Backups of information are conducted, maintained, and tested </t>
  </si>
  <si>
    <t>Policy and regulations regarding the physical operating environment for organizational assets are met</t>
  </si>
  <si>
    <t>Data is destroyed according to policy</t>
  </si>
  <si>
    <t>PR.IP-7</t>
  </si>
  <si>
    <t>Protection processes are improved</t>
  </si>
  <si>
    <t xml:space="preserve">Effectiveness of protection technologies is shared </t>
  </si>
  <si>
    <t>Response plans (Incident Response and Business Continuity) and recovery plans (Incident Recovery and Disaster Recovery) are in place and managed</t>
  </si>
  <si>
    <t>Response and recovery plans are tested</t>
  </si>
  <si>
    <t>Cybersecurity is included in human resources practices (e.g., deprovisioning, personnel screening)</t>
  </si>
  <si>
    <t>A vulnerability management plan is developed and implemented</t>
  </si>
  <si>
    <t>PR.MA</t>
  </si>
  <si>
    <t xml:space="preserve">Maintenance </t>
  </si>
  <si>
    <t>Maintenance and repairs of industrial control and information system components are performed consistent with policies and procedures.</t>
  </si>
  <si>
    <t>Maintenance and repair of organizational assets are performed and logged, with approved and controlled tools</t>
  </si>
  <si>
    <t>Remote maintenance of organizational assets is approved, logged, and performed in a manner that prevents unauthorized access</t>
  </si>
  <si>
    <t>PR.PT</t>
  </si>
  <si>
    <t xml:space="preserve">Protective Technology </t>
  </si>
  <si>
    <t>Technical security solutions are managed to ensure the security and resilience of systems and assets, consistent with related policies, procedures, and agreements.</t>
  </si>
  <si>
    <t>Audit/log records are determined, documented, implemented, and reviewed in accordance with policy</t>
  </si>
  <si>
    <t>Removable media is protected and its use restricted according to policy</t>
  </si>
  <si>
    <t>The principle of least functionality is incorporated by configuring systems to provide only essential capabilities</t>
  </si>
  <si>
    <t>Communications and control networks are protected</t>
  </si>
  <si>
    <t>Mechanisms (e.g., failsafe, load balancing, hot swap) are implemented to achieve resilience requirements in normal and adverse situations</t>
  </si>
  <si>
    <t>DE.AE</t>
  </si>
  <si>
    <t xml:space="preserve">Anomalies and Events </t>
  </si>
  <si>
    <t>Anomalous activity is detected and the potential impact of events is understood.</t>
  </si>
  <si>
    <t>A baseline of network operations and expected data flows for users and systems is established and managed</t>
  </si>
  <si>
    <t>Detected events are analyzed to understand attack targets and methods</t>
  </si>
  <si>
    <t>Event data are collected and correlated from multiple sources and sensors</t>
  </si>
  <si>
    <t>Impact of events is determined</t>
  </si>
  <si>
    <t>Incident alert thresholds are established</t>
  </si>
  <si>
    <t>DE.CM</t>
  </si>
  <si>
    <t xml:space="preserve">Security Continuous Monitoring </t>
  </si>
  <si>
    <t>The information system and assets are monitored to identify cybersecurity events and verify the effectiveness of protective measures.</t>
  </si>
  <si>
    <t>The network is monitored to detect potential cybersecurity events</t>
  </si>
  <si>
    <t>The physical environment is monitored to detect potential cybersecurity events</t>
  </si>
  <si>
    <t>Personnel activity is monitored to detect potential cybersecurity events</t>
  </si>
  <si>
    <t>Malicious code is detected</t>
  </si>
  <si>
    <t>Unauthorized mobile code is detected</t>
  </si>
  <si>
    <t>External service provider activity is monitored to detect potential cybersecurity events</t>
  </si>
  <si>
    <t>Monitoring for unauthorized personnel, connections, devices, and software is performed</t>
  </si>
  <si>
    <t>Vulnerability scans are performed</t>
  </si>
  <si>
    <t>DE.DP</t>
  </si>
  <si>
    <t xml:space="preserve">Detection Processes </t>
  </si>
  <si>
    <t>Detection processes and procedures are maintained and tested to ensure awareness of anomalous events.</t>
  </si>
  <si>
    <t>Roles and responsibilities for detection are well defined to ensure accountability</t>
  </si>
  <si>
    <t>Detection activities comply with all applicable requirements</t>
  </si>
  <si>
    <t>Detection processes are tested</t>
  </si>
  <si>
    <t>Event detection information is communicated</t>
  </si>
  <si>
    <t>Detection processes are continuously improved</t>
  </si>
  <si>
    <t>RS.RP</t>
  </si>
  <si>
    <t xml:space="preserve">Response Planning </t>
  </si>
  <si>
    <t>Response processes and procedures are executed and maintained, to ensure response to detected cybersecurity incidents.</t>
  </si>
  <si>
    <t>Response plan is executed during or after an incident</t>
  </si>
  <si>
    <t>RS.CO</t>
  </si>
  <si>
    <t xml:space="preserve">Communications </t>
  </si>
  <si>
    <t>Response activities are coordinated with internal and external stakeholders (e.g. external support from law enforcement agencies).</t>
  </si>
  <si>
    <t>Personnel know their roles and order of operations when a response is needed</t>
  </si>
  <si>
    <t>Incidents are reported consistent with established criteria</t>
  </si>
  <si>
    <t>Information is shared consistent with response plans</t>
  </si>
  <si>
    <t>Coordination with stakeholders occurs consistent with response plans</t>
  </si>
  <si>
    <t xml:space="preserve">Voluntary information sharing occurs with external stakeholders to achieve broader cybersecurity situational awareness </t>
  </si>
  <si>
    <t>RS.AN</t>
  </si>
  <si>
    <t xml:space="preserve">Analysis </t>
  </si>
  <si>
    <t>Analysis is conducted to ensure effective response and support recovery activities.</t>
  </si>
  <si>
    <t>Notifications from detection systems are investigated </t>
  </si>
  <si>
    <t>The impact of the incident is understood</t>
  </si>
  <si>
    <t>Forensics are performed</t>
  </si>
  <si>
    <t>Incidents are categorized consistent with response plans</t>
  </si>
  <si>
    <t>Processes are established to receive, analyze and respond to vulnerabilities disclosed to the organization from internal and external sources (e.g. internal testing, security bulletins, or security researchers)</t>
  </si>
  <si>
    <t>RS.MI</t>
  </si>
  <si>
    <t xml:space="preserve">Mitigation </t>
  </si>
  <si>
    <t>Activities are performed to prevent expansion of an event, mitigate its effects, and resolve the incident.</t>
  </si>
  <si>
    <t>Incidents are contained</t>
  </si>
  <si>
    <t>Incidents are mitigated</t>
  </si>
  <si>
    <t>Newly identified vulnerabilities are mitigated or documented as accepted risks</t>
  </si>
  <si>
    <t>RS.IM</t>
  </si>
  <si>
    <t xml:space="preserve">Improvements </t>
  </si>
  <si>
    <t>Organizational response activities are improved by incorporating lessons learned from current and previous detection/response activities.</t>
  </si>
  <si>
    <t>Response plans incorporate lessons learned</t>
  </si>
  <si>
    <t>Response strategies are updated</t>
  </si>
  <si>
    <t>RC.RP</t>
  </si>
  <si>
    <t xml:space="preserve">Recovery Planning </t>
  </si>
  <si>
    <t>Recovery processes and procedures are executed and maintained to ensure restoration of systems or assets affected by cybersecurity incidents.</t>
  </si>
  <si>
    <t xml:space="preserve">Recovery plan is executed during or after a cybersecurity incident </t>
  </si>
  <si>
    <t>RC.IM</t>
  </si>
  <si>
    <t>Recovery planning and processes are improved by incorporating lessons learned into future activities.</t>
  </si>
  <si>
    <t>Recovery plans incorporate lessons learned</t>
  </si>
  <si>
    <t>Recovery strategies are updated</t>
  </si>
  <si>
    <t>RC.CO</t>
  </si>
  <si>
    <t>Restoration activities are coordinated with internal and external parties (e.g.  coordinating centers, Internet Service Providers, owners of attacking systems, victims, other CSIRTs, and vendors).</t>
  </si>
  <si>
    <t>RC.CO-1</t>
  </si>
  <si>
    <t>Public relations are managed</t>
  </si>
  <si>
    <t xml:space="preserve">Reputation is repaired after an incident </t>
  </si>
  <si>
    <t>Recovery activities are communicated to internal and external stakeholders as well as executive and management teams</t>
  </si>
  <si>
    <t>Total implemented</t>
  </si>
  <si>
    <t>#Implemented</t>
  </si>
  <si>
    <t>#Total</t>
  </si>
  <si>
    <t>KM75</t>
  </si>
  <si>
    <t>Cybersecurity areas of improvement</t>
  </si>
  <si>
    <t>KYBERMITTARI-37</t>
  </si>
  <si>
    <t>KYBERMITTARI-38</t>
  </si>
  <si>
    <t>Työntekijöille ja muille entiteeteille (kuten prosesseille tai laitteille, jotka tarvitsevat pääsyn toimintoon kuuluviin laitteisiin, ohjelmistoihin tai tietovarantoihin) osoitetaan erilliset identiteetit. (Huom. tällä vaatimuksella ei kuitenkaan rajoiteta jaettujen identiteettien käyttöä). Tasolla 1 tämän ei tarvitse olla systemaattista ja säännöllistä.</t>
  </si>
  <si>
    <t>Työntekijöille ja muille entiteeteille jaetaan pääsyvaltuustiedot (kuten salasanat, älykortit tai avaimet). Tasolla 1 tämän ei tarvitse olla systemaattista ja säännöllistä.</t>
  </si>
  <si>
    <t>Identiteetit poistetaan käytöstä, kun niitä ei enää tarvita. Tasolla 1 tämän ei tarvitse olla systemaattista ja säännöllistä.</t>
  </si>
  <si>
    <t>Loogisten käyttöoikeuksien hallinta</t>
  </si>
  <si>
    <t>Loogisten käyttöoikeuksien hallinnan valvontakeinoja on käytössä. Tasolla 1 tämän ei tarvitse olla systemaattista ja säännöllistä.</t>
  </si>
  <si>
    <t>Käyttöoikeudet poistetaan, kun niitä ei enää tarvita. Tasolla 1 tämän ei tarvitse olla systemaattista ja säännöllistä.</t>
  </si>
  <si>
    <t>Fyysisen pääsynhallinnan valvontakeinoja on käytössä (kuten aitoja, lukkoja tai kylttejä). Tasolla 1 tämän ei tarvitse olla systemaattista ja säännöllistä.</t>
  </si>
  <si>
    <t>Pääsyoikeudet poistetaan, kun niitä ei enää tarvita. Tasolla 1 tämän ei tarvitse olla systemaattista ja säännöllistä.</t>
  </si>
  <si>
    <t>Pääsyoikeuksien käytöstä pidetään lokia. Tasolla 1 tämän ei tarvitse olla systemaattista ja säännöllistä.</t>
  </si>
  <si>
    <t>Pääsyoikeuksille on asetettu tarkempia vaatimuksia (esimerkiksi sääntöjä siitä, kenelle pääsy voidaan myöntää, millä tavoin pääsyoikeudet myönnetään tai missä rajoissa pääsy sallitaan).</t>
  </si>
  <si>
    <t>Organisaation IT-järjestelmät on eriytetty mahdollisista OT-järjestelmistä segmentoimalla ne joko fyysisesti tai loogisesti. Tasolla 1 tämän ei tarvitse olla systemaattista ja säännöllistä. [Tulkintaohje: mikäli OT-järjestelmiä tai vastaavia ei ole, aseteta käytäntö "täysin toteutetuksi"]</t>
  </si>
  <si>
    <t>Kyberturvallisuuden suojausmekanismeja on käytössä toiminnon kannalta tärkeille laitteille, ohjelmistoille ja tietovarannoille. Tasolla 1 tämän ei tarvitse olla systemaattista ja säännöllistä.</t>
  </si>
  <si>
    <t>Tallennettua arkaluontoista tietoa ("data at rest") suojataan. Tasolla 1 tämän ei tarvitse olla systemaattista ja säännöllistä.</t>
  </si>
  <si>
    <t>Toiminnon kannalta tärkeistä laitteista ja ohjelmistoista on olemassa rekisteri. (Huomioi myös mahdollisten OT-ympäristöjen laitteet ja ohjelmistot). Tasolla 1 rekisterin ylläpidon ei tarvitse olla systemaattista ja säännöllistä.</t>
  </si>
  <si>
    <t>Rekisteriin on kirjattu sellaiset toimintoon kuuluvat laitteet ja ohjelmistot, joita voitaisiin käyttää hyökkääjän tavoitteen saavuttamiseen.</t>
  </si>
  <si>
    <t>Priorisointikriteereissä huomioidaan lisäksi se voidaanko laitetta tai ohjelmistoa käyttää hyökkääjän tavoitteen saavuttamiseen.</t>
  </si>
  <si>
    <t>Toiminnon kannalta tärkeistä tietovarannoista (kuten asiakastiedosta tai laitteiden ja ohjelmistojen perusasetuksista) on olemassa rekisteri. (Huomioi myös mahdollisten OT-ympäristöjen tietovarannot). Tasolla 1 rekisterin ylläpidon ei tarvitse olla systemaattista ja säännöllistä.</t>
  </si>
  <si>
    <t>Rekisteriin on kirjattu sellaiset toimintoon kuuluvat tietovarannot, joita voitaisiin käyttää hyökkääjän tavoitteen saavuttamiseen.</t>
  </si>
  <si>
    <t>Priorisointikriteereissä huomioidaan lisäksi se voidaanko tietovarantoa käyttää hyökkääjän tavoitteen saavuttamiseen.</t>
  </si>
  <si>
    <t>Laitteiden, ohjelmistojen ja tietovarantojen konfiguraatioista on luotu vakioidut perusasetukset. Tasolla 1 tämän ei tarvitse olla systemaattista ja säännöllistä.</t>
  </si>
  <si>
    <t>Rekistereihin kirjattuihin laitteisiin, ohjelmistoihin ja tietovarantoihin tehtävät muutokset arvioidaan ja hyväksytetään ennen niiden toteuttamista. Tasolla 1 tämän ei tarvitse olla systemaattista ja säännöllistä.</t>
  </si>
  <si>
    <t>Rekistereihin kirjattuihin laitteisiin, ohjelmistoihin ja tietovarantoihin tehtävistä muutoksista pidetään lokia. Tasolla 1 tämän ei tarvitse olla systemaattista ja säännöllistä.</t>
  </si>
  <si>
    <t>Organisaatiolla on kyberturvallisuusstrategia. Tasolla 1 sen kehittämisen ja ylläpidon ei tarvitse olla systemaattista ja säännöllistä.</t>
  </si>
  <si>
    <t>Kyberturvallisuusstrategia nimeää soveltuvin osin kaikki olennaiset vaatimustenmukaisuusvaatimukset (esimerkiksi NIST, ISO, PCI DSS), joita tulee noudattaa.</t>
  </si>
  <si>
    <t>Resurssit (henkilöt, rahoitus ja työkalut) on osoitettu kyberturvallisuuden hallinnan perustamiseen. Tasolla 1 tämän ei tarvitse olla systemaattista ja säännöllistä.</t>
  </si>
  <si>
    <t>Organisaation ylin johto tukee kyberturvallisuuden hallintaa. Tasolla 1 tämän ei tarvitse olla systemaattista ja säännöllistä.</t>
  </si>
  <si>
    <t>Havaitut kybertapahtumat raportoidaan ennalta määritellyille henkilöille tai roolien haltijoille ja niistä pidetään lokia. Tasolla 1 tämän ei tarvitse olla systemaattista ja säännöllistä.</t>
  </si>
  <si>
    <t>Kyberhäiriöiden määrittämisestä on laadittu kriteeristö. Tasolla 1 tämän ei tarvitse olla systemaattista ja säännöllistä.</t>
  </si>
  <si>
    <t>Kybertapahtumiin ja -häiriöihin reagoimista varten on tunnistettu soveltuvat työntekijät ja osoitettu heille heidän roolinsa. Tasolla 1 tämän ei tarvitse olla systemaattista ja säännöllistä.</t>
  </si>
  <si>
    <t>Kybertapahtumiin- ja häiriöihin reagoidaan siten, että rajoitetaan toimintoon kohdistuvaa vaikutusta ja palautetaan toiminta normaaliksi. Tasolla 1 tämän ei tarvitse olla systemaattista ja säännöllistä.</t>
  </si>
  <si>
    <t>Kyberhäiriöistä tuotetaan raportointia (esimerkiksi sisäisesti, CERT-FI tai soveltuville ISAC-ryhmille). Tasolla 1 tämän ei tarvitse olla systemaattista ja säännöllistä.</t>
  </si>
  <si>
    <t>Kyberhäiriöihin ja -tapahtumiin reagoinnin suunnitelmia harjoitellaan aika ajoin ja määriteltyjen tilanteiden kuten järjestelmämuutosten tai ulkoisten tapahtumien yhteydessä.</t>
  </si>
  <si>
    <t>Organisaatio on kehittänyt toiminnan jatkuvuutta koskevat suunnitelmat, joiden avulla toiminnon toiminta voidaan säilyttää ja palauttaa, mikäli toimintaan kohdistuu kybertapahtuma tai -häiriö. Tasolla 1 tämän ei tarvitse olla systemaattista ja säännöllistä.</t>
  </si>
  <si>
    <t>Tiedoista on saatavilla varmuuskopiot, joita testaan. Tasolla 1 tämän ei tarvitse olla systemaattista ja säännöllistä.</t>
  </si>
  <si>
    <t>Varaosia tarvitsevat IT-laitteet (ja mahdolliset OT-laitteet) on tunnistettu. Tasolla 1 tämän ei tarvitse olla systemaattista ja säännöllistä.</t>
  </si>
  <si>
    <t>Organisaation kyberriskienhallinnan toimenpiteitä toteuttamaan on määritetty kyberriskien hallintaprosessi, jota ylläpidetään säännöllisesti ja jonka avulla huolehditaan että suoritettavat toimenpiteet ovat linjassa organisaation yleisten tehtävien ja tavoitteiden kanssa.</t>
  </si>
  <si>
    <t>Kyberriskejä tunnistetaan. Tasolla 1 tämän ei tarvitse olla systemaattista ja säännöllistä.</t>
  </si>
  <si>
    <t>Kyberriskien tunnistamista tehdään aika ajoin ja määriteltyjen tilanteiden, kuten järjestelmämuutosten tai ulkoisten kybertapahtumien yhteydessä.</t>
  </si>
  <si>
    <t>Kyberriskit priorisoidaan niiden arvioidun vaikutuksen perusteella. Tasolla 1 tämän ei tarvitse olla systemaattista ja säännöllistä.</t>
  </si>
  <si>
    <t>Riskeihin reagointikeinot (kuten riskin pienentäminen, hyväksyminen, välttäminen tai siirtäminen) ovat käytössä kyberriskeille ja kyberriskikategorioille. Tasolla 1 tämän ei tarvitse olla systemaattista ja säännöllistä.</t>
  </si>
  <si>
    <t>Kyberturvallisuuden suojausmekanismien suunnittelun onnistumista ja niiden tosiasiallista vaikutusta kyberriskien pienenemiseen arvioidaan.</t>
  </si>
  <si>
    <t>Lokitietoa kerätään toiminnon kannalta tärkeistä laitteista, ohjelmistoista ja tietovarannoista [kts. ASSET-1a, ASSET-2a]. Tasolla 1 tämän ei tarvitse olla systemaattista ja säännöllistä.</t>
  </si>
  <si>
    <t>Lokitietoa kerätään sellaisista laitteista, ohjelmistoista ja tietovarannoista, joita voitaisiin käyttää hyökkääjän tavoitteen saavuttamiseen.</t>
  </si>
  <si>
    <t>Lokitietojen tarkastelua ja muuta kyberturvallisuusvalvontaa tehdään. Tasolla 1 tämän ei tarvitse olla systemaattista ja säännöllistä.</t>
  </si>
  <si>
    <t>IT-ympäristöjä (ja mahdollisia OT-ympäristöjä) valvotaan poikkeavan toiminnan ja mahdollisten kybertapahtumien varalta. Tasolla 1 tämän ei tarvitse olla systemaattista ja säännöllistä.</t>
  </si>
  <si>
    <t>Poikkeavan toiminnan havaitsemiseksi on määritetty indikaattoreita, jotka pohjautuvat järjestelmälokeihin, tietovuoanalyysiin, verkkojen peruskonfiguraatioihin, kybertapahtumiin ja -arkkitehtuuriin. IT-ympäristöjä (ja mahdollisia OT-ympäristöjä) valvotaan näiden indikaattoreiden avulla.</t>
  </si>
  <si>
    <t>SITUATION-osion toimintaa ohjataan vaatimuksilla, jotka on asetettu organisaation johtotason politiikassa (tai vastaavassa ohjeistuksessa).</t>
  </si>
  <si>
    <t>Haavoittuvuuksien tunnistamisen tueksi on tunnistettu soveltuvia tietolähteitä. Tasolla 1 tämän ei tarvitse olla systemaattista ja säännöllistä.</t>
  </si>
  <si>
    <t>Haavoittuvuustietoa kerätään ja sitä tulkitaan toimintoa varten. Tasolla 1 tämän ei tarvitse olla systemaattista ja säännöllistä.</t>
  </si>
  <si>
    <t>Haavoittuvuusarviointeja suoritetaan. Tasolla 1 tämän ei tarvitse olla systemaattista ja säännöllistä.</t>
  </si>
  <si>
    <t>Toiminnon kannalta olennaisiin haavoittuvuuksiin puututaan (esimerkiksi lisäämällä valvontaa tai asentamalla korjauspäivityksiä). Tasolla 1 tämän ei tarvitse olla systemaattista ja säännöllistä.</t>
  </si>
  <si>
    <t>Uhkien tunnistamisen tueksi on tunnistettu soveltuvia tietolähteitä. Tasolla 1 tämän ei tarvitse olla systemaattista ja säännöllistä.</t>
  </si>
  <si>
    <t>Uhkatietoa kerätään ja sitä tulkitaan toimintoa varten. Tasolla 1 tämän ei tarvitse olla systemaattista ja säännöllistä.</t>
  </si>
  <si>
    <t>Toiminnon kannalta olennaisiin uhkiin puututaan (esimerkiksi lisäämällä valvontaa tai seuraamalla uhkien kehitystä). Tasolla 1 tämän ei tarvitse olla systemaattista ja säännöllistä.</t>
  </si>
  <si>
    <t>Toiminnon kyberturvallisuuteen liittyvät vastuut on tunnistettu. Tasolla 1 tämän ei tarvitse olla systemaattista ja säännöllistä.</t>
  </si>
  <si>
    <t>Kyberturvallisuuteen liittyvät vastuut on osoitettu nimetyille henkilöille. Tasolla 1 tämän ei tarvitse olla systemaattista ja säännöllistä.</t>
  </si>
  <si>
    <t>Kyberturvallisuuskoulutusta on saatavana sellaisille työntekijöille, joille on osoitettu kyberturvallisuuteen liittyviä vastuita. Tasolla 1 tämän ei tarvitse olla systemaattista ja säännöllistä.</t>
  </si>
  <si>
    <t>Kyberturvallisuuteen liittyvien tietojen, taitojen ja kykyjen vaatimukset ja niissä mahdollisesti ilmenevät puutteet on tunnistettu sekä nykyiset että tulevat tarpeet huomioiden. Tasolla 1 tämän ei tarvitse olla systemaattista ja säännöllistä.</t>
  </si>
  <si>
    <t>Erilaisia tarkastuksia (esimerkiksi taustojen tarkistuksia, huumetestejä) suoritetaan uusia työntekijöitä palkatessa. Tasolla 1 tämän ei tarvitse olla systemaattista ja säännöllistä.</t>
  </si>
  <si>
    <t>Työsuhteen päättymiseen liittyvissä menettelyissä huomioidaan kyberturvallisuus. Tasolla 1 tämän ei tarvitse olla systemaattista ja säännöllistä.</t>
  </si>
  <si>
    <t>Käytössä on viralliset menettelytavat sekä mahdolliset seuraamusmenettelyt tilanteisiin, joissa työntekijä lyö laimin kyberturvallisuuspolitiikan tai -säännöstön asettamia vaatimuksia.</t>
  </si>
  <si>
    <t>Henkilöstön kyberturvallisuustietoisuutta kohotetaan erilaisin toimin. Tasolla 1 tämän ei tarvitse olla systemaattista ja säännöllistä.</t>
  </si>
  <si>
    <t>NIST-ID</t>
  </si>
  <si>
    <t>NIST-PR</t>
  </si>
  <si>
    <t>NIST-RC</t>
  </si>
  <si>
    <t>NIST-RS</t>
  </si>
  <si>
    <t>NIST-DE</t>
  </si>
  <si>
    <t>C_version</t>
  </si>
  <si>
    <t>C_date</t>
  </si>
  <si>
    <t>KYBERMITTARI-18</t>
  </si>
  <si>
    <t>Päiväys</t>
  </si>
  <si>
    <t>(FIN) tulosten siirtoon</t>
  </si>
  <si>
    <t>KommentitV2</t>
  </si>
  <si>
    <t>Yleiset hallintatoimet</t>
  </si>
  <si>
    <t>KM76</t>
  </si>
  <si>
    <t>Management activities</t>
  </si>
  <si>
    <t>a</t>
  </si>
  <si>
    <t>b</t>
  </si>
  <si>
    <t>c</t>
  </si>
  <si>
    <t>d</t>
  </si>
  <si>
    <t>e</t>
  </si>
  <si>
    <t>f</t>
  </si>
  <si>
    <t>KM77</t>
  </si>
  <si>
    <t>Domain specific maturity report</t>
  </si>
  <si>
    <t>Systemic impact on national or regional level</t>
  </si>
  <si>
    <t>Uhkaskenaarion kuvaus (worst-case)</t>
  </si>
  <si>
    <t>KYBERMITTARI-39</t>
  </si>
  <si>
    <t>KYBERMITTARI-40</t>
  </si>
  <si>
    <t>Skenaarion yhteiskunnallinen vaikuttavuus</t>
  </si>
  <si>
    <t>Description of a credible worst-case scenario</t>
  </si>
  <si>
    <t xml:space="preserve">Impact of the scenario on national or regional level   </t>
  </si>
  <si>
    <t>Looginen (tietojärjestelmien) pääsynhallinta kattaa käyttöoikeusvaatimusten määrittelyn sekä oikeuksien myöntämisen ja käytöstä poiston asetettujen vaatimusten mukaisesti. Käyttöoikeusvaatimukset yhdistetään omaisuuteen kuten laitteeseen, ohjelmistoon tai tietoon ja vaatimukset määräävät mm. minkä tyyppiset toimijat voivat saada pääsyn kohteeseen, missä rajoissa pääsy sallitaan tai onko tunnistetiedoille kuten salasanoille asetettu tiettyjä vaatimuksia. Ulkopuoliselle toimittajalle voidaan sallia pääsy esimerkiksi vain ennalta määrättyjen huoltoikkunoiden aikaan ja käyttäen vahvaa tunnistautumista. Korkeammilla kypsyyden tasoilla vaaditaan tarkempaa käyttöoikeuksien valvontaa: käyttöoikeudet myönnetään vasta kun on huomioitu toiminnan osa-alueeseen kohdistuvat riskit, minkä lisäksi käyttöoikeudet katselmoidaan säännöllisesti.</t>
  </si>
  <si>
    <t>ALL</t>
  </si>
  <si>
    <t>Amount of practices</t>
  </si>
  <si>
    <t>All</t>
  </si>
  <si>
    <t>MIL2</t>
  </si>
  <si>
    <t>Osio</t>
  </si>
  <si>
    <t xml:space="preserve">Yleisiä hallintatoimia -osan järjestysnumero </t>
  </si>
  <si>
    <t>Selite:</t>
  </si>
  <si>
    <t>Vinkit</t>
  </si>
  <si>
    <t>KYBERMITTARI-41</t>
  </si>
  <si>
    <t>KYBERMITTARI-19</t>
  </si>
  <si>
    <t>Viimeinen muutos</t>
  </si>
  <si>
    <t>Start date</t>
  </si>
  <si>
    <t>Aloitus pvm.</t>
  </si>
  <si>
    <t>Latest change</t>
  </si>
  <si>
    <t>KYBERMITTARI-42</t>
  </si>
  <si>
    <t>Next review</t>
  </si>
  <si>
    <t>Seuraava arviointi</t>
  </si>
  <si>
    <t>KYBERMITTARI-43</t>
  </si>
  <si>
    <t>KYBERMITTARI-44</t>
  </si>
  <si>
    <t>KYBERMITTARI-45</t>
  </si>
  <si>
    <t>Change</t>
  </si>
  <si>
    <t>3
&gt; 90%</t>
  </si>
  <si>
    <t>2
&gt; 60%</t>
  </si>
  <si>
    <t>1
&gt; 30%</t>
  </si>
  <si>
    <t>Identifying critical functions (for more guidance please see the User Guide)
It is recommended that the assessment cover the functions the organisation requires to provide services that are critical for its (business) operations or society at large. The primary target group of Cybermeter consists of organisations that are critical for the functioning of society in terms of security of supply. However, the framework is equally suitable for organisations of all types. The assessment should then cover functions which are critical for the organisation’s operations and key dependencies considering their reliability.
The assessment can be defined in many ways, for example:
* To cover the whole organisation, e.g. SMEs;
* In accordance with the organisational structure, e.g. a country or business unit;
* In accordance with functions, e.g. a service provided across organisational boundaries.
In addition to critical functions and services, key dependencies considering the reliability of these functions and services must be identified to define the area to be assessed. These primarily include all the following related to the provision of critical services:
* Business processes and operational processes;
* Systems and subsystems; and
* Data resources.
A service is critical for society at large if any disruption in the service would affect a significant number of customers or a large geographic area, or if it would have a severe consequential impact. The criticality can be defined on the basis of the National Emergency Supply Agency’s sector-specific definitions. Identifying services which are critical for business operations should start from the organisation’s goals or the focus areas of the organisation’s business strategy.</t>
  </si>
  <si>
    <t>Kyberriskienhallinnan suunnitelma</t>
  </si>
  <si>
    <t>Identiteetin ja pääsynhallinnan osiossa arvioidaan organisaation kykyä hallita ja rajoittaa loogista ja fyysistä pääsyä organisaation omaisuuteen. Pääsyä tulee hallita suhteessa organisaation kohdistuviin riskeihin ja organisaation tavoitteisiin. Tässä yhteydessä loogisen pääsynhallinnan suojausmekanismeja sovelletaan toiminnon kannalta tärkeisiin laitteisiin, ohjelmistoihin ja tietoon ja fyysisen pääsynhallinnan suojausmekanismeja sovelletaan toiminnon kannalta tärkeisiin laitteisiin ja tiloihin. Automatisoituja suojausmekanismeja sovelletaan sekä loogisen että fyysisen pääsynhallinnan yhteydessä. Heikko pääsynhallinta voi johtaa laitteiden, ohjelmistojen tai tiedon luvattomaan käyttöön, julkistamiseen, tuhoamiseen tai peukalointiin. Lisäksi se nostaa tarpeettomasti organisaation riskitasoa.</t>
  </si>
  <si>
    <t>Käyttöoikeuksille on asetettu tarkempia vaatimuksia (esimerkiksi sääntöjä siitä, millaisille entiteeteille voidaan myöntää pääsy, missä rajoissa pääsy voidaan myöntää, rajoitetaanko etäyhteyksiä tai onko valtuustiedoille kuten salasanoille asetettu erityisiä vaatimuksia).</t>
  </si>
  <si>
    <t>Käyttöoikeudet tarkastetaan ja päivitetään aika ajoin ja määriteltyjen tilanteiden kuten organisaatiorakenteen muuttuessa tai tilapäisen käyttöoikeuksien korotuksen jälkeen.</t>
  </si>
  <si>
    <t>Fyysinen pääsynhallinta kattaa pääsyoikeusvaatimusten määrittelyn sekä oikeuksien myöntämisen ja käytöstä poiston asetettujen vaatimusten mukaisesti. Pääsyoikeusvaatimukset yhdistetään fyysiseen pääsyyn tilaan, jossa on omaisuutta kuten tietomateriaalia, laitteita tai tietoverkkokaapelointeja. Vaatimukset määräävät mm. minkä tyyppiset toimijat voivat saada pääsyn kohteeseen, missä rajoissa pääsy sallitaan tai onko tunnistautumiskeinolle (avain, avainkortti, biometriikka, PIN, jne.) asetettu tiettyjä vaatimuksia. Ulkopuoliselle toimittajalle voidaan sallia pääsy esimerkiksi vain ennalta määrättyjen huoltoikkunoiden aikaan tai muun aikarajoituksen perusteella. Korkeammilla kypsyyden tasoilla vaaditaan tarkempaa käyttöoikeuksien valvontaa: pääsyoikeudet myönnetään vasta kun on huomioitu toiminnan osa-alueeseen kohdistuvat riskit, minkä lisäksi pääsyoikeudet katselmoidaan säännöllisesti.</t>
  </si>
  <si>
    <t>ACCESS-osion toimintaa ohjataan vaatimuksilla, jotka on asetettu organisaation johtotason politiikassa (tai vastaavassa ohjeistuksessa).</t>
  </si>
  <si>
    <t>Kyberarkkitehtuuria ohjaavat organisaation riskiarvioinneista saama tieto [kts. RISK-3d] sekä organisaation uhkaprofiili [kts. THREAT-2d].</t>
  </si>
  <si>
    <t>Verkkojen suojaus on määritetty ja käytössä valituille laite-, ohjelmisto- ja tietotyypeille riippuen niiden riski- ja prioriteettitasosta (esimerkkeinä sisäiset laitteet, verkkojen reunoilla olevat laitteet, langattomaan verkkoon kytketyt laitteet, pilviomaisuus, etäyhteydet tai ulkoisesti hallitut laitteet).</t>
  </si>
  <si>
    <t>Verkkoliikennettä ja sähköpostia valvotaan, analysoidaan ja hallitaan (esimerkiksi estämällä haitallisia linkkejä tai epäilyttäviä latauksia, sähköpostin autentikointi tai IP-osoitteiden estäminen).</t>
  </si>
  <si>
    <t>Kyberturvallisuuden suojausmekanismeja (mukaan lukien fyysiset pääsynhallinnan keinot) käytetään kaikkien toimintoon kuuluvien laitteiden, ohjelmistojen ja tietovarantojen kohdalla, joko laitetasolla tai muilla keinoin, mikäli laitetason kontrolleja ei voida toteuttaa.</t>
  </si>
  <si>
    <t>Laiteohjelmistojen (firmware) konfiguraatioita ja muutoksia hallitaan koko laitteen eliniän ajan.</t>
  </si>
  <si>
    <t>Sovellusturvallisuus on keskeisessä roolissa kyberarkkitehtuurissa, kun suojataan käyttäjiä ja tietoa. Kehitettävien sovelluksien tulee olla sietokykyisiä myös epäsuotuisissa olosuhteissa ja väärinkäyttöä vastaan. Sovellusturvallisuus tulee huomioida myös käytettäessä kolmansien osapuolien ratkaisuja.</t>
  </si>
  <si>
    <t>Sisäisesti kehitettyjen tai räätälöityjen ohjelmistojen ja sovellusten turvallisuus testataan (esimerkiksi staattinen tai dynaaminen testaus, fuzz-testaus tai penetraatiotestaus) aika ajoin ja määriteltyjen tilanteiden kuten järjestelmämuutosten tai ulkoisten tapahtumien yhteydessä.</t>
  </si>
  <si>
    <t>Kaikkea tallennettua tietoa ("data at rest") suojataan valittujen tietotyyppien osalta [kts. ASSET-2d].</t>
  </si>
  <si>
    <t>ARCHITECTURE-osion toimintaa ohjataan vaatimuksilla, jotka on asetettu organisaation johtotason politiikassa (tai vastaavassa ohjeistuksessa).</t>
  </si>
  <si>
    <t>Rekisteriä käytetään kyberriskien tunnistamiseen (esimerkiksi tunnistamaan sellaisia riskejä, jotka liittyvät omaisuuden käyttöiän tai käyttötuen päättymiseen tai yksittäisiin laitteisiin tai ohjelmistoihin, joiden toimintahäiriö voisi keskeyttää koko toiminnon).</t>
  </si>
  <si>
    <t>Tietovarannot (kuten asiakastiedot tai laitteiden ja ohjelmistojen perusasetukset) tuhotaan tai poistetaan soveltuvin keinoin, kun tiedolle määritelty enimmäiskäyttö- tai tallennusaika on päättynyt.</t>
  </si>
  <si>
    <t>Konfiguraation hallintaan kuuluu vakioitujen perusasetusten määritys ja niiden käyttö laitteita ja ohjelmistoja konfiguroitaessa. Useimmiten tällä pyritään siihen, että samanlaiset laitteet ja ohjelmistot konfiguroidaan toimimaan samalla tavalla. Toisaalta yksittäisten tai yksilöityjen laitteiden konfiguraation hallintaan kuuluu vakioitujen perusasetusten käyttö alustusvaiheessa ja myöhempien poikkeamien tunnistaminen.</t>
  </si>
  <si>
    <t>Muutoksenhallinnan lokit sisältävät tietoa sellaisista tehdyistä muutoksista, jotka vaikuttavat kyseisen laitteen, ohjelmiston tai tietovarannon kyberturvallisuusvaatimuksiin.</t>
  </si>
  <si>
    <t>ASSET-osion toimintaa ohjataan vaatimuksilla, jotka on asetettu organisaation johtotason politiikassa (tai vastaavassa ohjeistuksessa).</t>
  </si>
  <si>
    <t>PROGRAM-osion toimintaa ohjataan vaatimuksilla, jotka on asetettu organisaation johtotason politiikassa (tai vastaavassa ohjeistuksessa).</t>
  </si>
  <si>
    <t>RESPONSE-osion toimintaa ohjataan vaatimuksilla, jotka on asetettu organisaation johtotason politiikassa (tai vastaavassa ohjeistuksessa).</t>
  </si>
  <si>
    <t>RISK-osion toimintaa ohjataan vaatimuksilla, jotka on asetettu organisaation johtotason politiikassa (tai vastaavassa ohjeistuksessa).</t>
  </si>
  <si>
    <t>THIRDPARTY-osion toimintaa ohjataan vaatimuksilla, jotka on asetettu organisaation johtotason politiikassa (tai vastaavassa ohjeistuksessa).</t>
  </si>
  <si>
    <t>THREAT-osion toimintaa ohjataan vaatimuksilla, jotka on asetettu organisaation johtotason politiikassa (tai vastaavassa ohjeistuksessa).</t>
  </si>
  <si>
    <t>WORKFORCE-osion toimintaa ohjataan vaatimuksilla, jotka on asetettu organisaation johtotason politiikassa (tai vastaavassa ohjeistuksessa).</t>
  </si>
  <si>
    <t>Arvioinnin kohteena oleva toiminto (laajempi ohje löytyy Kybermittarin käyttöohjeesta)
Arviointi suositellaan kohdistamaan toimintoihin, joita organisaatio tarvitsee tuottaakseen joko yhteiskunnan tai oman (liike)toimintansa kannalta kriittisiä palveluita. Kybermittarin ensisijainenkohde ovat yhteiskunnan toiminnan kannalta huoltovarmuuskriittiset organisaatiot, mutta malli sopii yhtä hyvin kaikenlaisten organisaatioiden käytötön. Tällöin tarkasteltavaksi valitaan esimerkiksi organisaation oman liiketoiminnan kannalta kriittiset toiminnot ja niiden toimintavarmuuden kannalta tärkeimmät riippuvuudet. Mikäli halutaan tarkastella kerralla useita toiminnan osa-alueita, on suositeltavaa muodostaa jokaisesta omat arviointinsa.
Rajaus voidaan toteuttaa monella tapaa, esimerkiksi:
 * Kattamaan koko organisaatio, esim. pienissä ja keskisuurissa yrityksissä;
 * Organisaatiorakenteen mukaisesti, esim. maa- tai liiketoimintayksikköön;
 * Toimintojen mukaisesti, esim. yli organisaatiorajojen tuotettuun palveluun.  
Kriittisten palveluiden ja toimintojen lisäksi arvioinnin kohteen määrittämiseksi tulee tunnistaa näiden toimintavarmuuden kannalta tärkeimmät riippuvuudet. Tällaisia ovat lähtökohtaisesti kaikki kriittisten palveluiden tuottamiseen liittyvät:
 * Liiketoimintaprosessit ja operatiiviset prosessit;
 * Järjestelmät ja osajärjestelmät; ja
 * Tietovarannot
Palvelu on yhteiskunnalle kriittinen, mikäli sen häiriö vaikuttaa merkittävään asiakasmäärään, laajaan maantieteelliseen alueeseen tai palvelun häiriöllä on vakavia seurannaisvaikutuksia. Kriittisyyden määrittelyssä auttavat esimerkiksi Huoltovarmuuskeskuksen toimialamääritykset. Liiketoiminnan kannalta kriittisten palveluiden tunnistaminen kannattaa aloittaa esimerkiksi organisaation tavoitteista tai liiketoimintastrategian painopistealueista.</t>
  </si>
  <si>
    <t>Kyberturvallisuusstrategia määrittää organisaation kyberturvallisuuden hallintamallin ("governance") ja valvontatoimet.</t>
  </si>
  <si>
    <t>Kyberturvallisuusstrategia määrittelee kyberturvallisuuden hallinta- ja organisaatiorakenteen.</t>
  </si>
  <si>
    <t>Kybertapahtumien eskalointi sisältää kohdassa "Kybertapahtumien havainnointi" mainittujen arviointiperusteiden soveltamista ja sellaisten tilanteiden tunnistamista, joissa kybertapahtumaa tulee käsitellä ennalta määritettyjen suunnitelmien mukaisesti. Eskaloidut kybertapahtumat ja -häiriöt voivat johtaa ulkoisiin velvoitteisiin kuten esimerkiksi viranomaisraportointiin tai asiakkaiden tiedottamiseen. Useampien kybertapahtumien ja häiriöiden korrelointi keskenään saattaa paljastaa systemaattisia ongelmia ympäristössä.</t>
  </si>
  <si>
    <t>Kybertapahtumat analysoidaan siten, että se tukee mahdollisten kyberhäiriöiden määrittämistä. Tasolla 1 tämän ei tarvitse olla systemaattista ja säännöllistä.</t>
  </si>
  <si>
    <t>Kyberhäiriöiden määrittämisen kriteeristö on linjassa kyberriskien priorisoinnin kriteereiden kanssa [kts. RISK-3b].</t>
  </si>
  <si>
    <t>Kybertapahtumien ja -häiriöiden perusteella toteutetuista toimista otetaan opiksi ja korjaavia toimenpiteitä toteutetaan (mukaan lukien valmiussuunnitelmien päivittäminen).</t>
  </si>
  <si>
    <t>Kybertapahtumien ja -häiriöiden juurisyyt analysoidaan ja korjaavia toimenpiteitä toteutetaan (mukaan lukien valmiussuunnitelmien päivittäminen).</t>
  </si>
  <si>
    <t>Jatkuvuussuunnitelmat käsittelevät toiminnon kannalta tärkeät laitteet, ohjelmistot ja tietovarannot. Mukaan lukien varmuuskopioiden saatavuuden sekä korvaavat, varmennetut ja varalla olevat laitteet ja ohjelmistot. (Huomioi myös mahdolliset OT-laitteet, -ohjelmistot ja tietovarannot).</t>
  </si>
  <si>
    <t>Jatkuvuussuunnitelmat ovat linjassa tunnistettujen riskien kanssa [kts. RISK-2a] ja organisaation uhkaprofiiliin [kts. THREAT-2d], jotta huomioidaan tunnistetut riskikategoriat ja uhat.</t>
  </si>
  <si>
    <t>Haavoittuvuustietoa uhkien hallinnan osiosta [kts. THREAT] käytetään uusien kyberriskien tunnistamiseen ja olemassa olevien kyberriskien päivittämiseen (esimerkiksi tunnistamaan riskejä, jotka johtuvat havaituista ja/tai paikkaamattomista haavoittuvuuksista).</t>
  </si>
  <si>
    <t>Uhkatietoa uhkien hallinnan osiosta [kts. THREAT] käytetään uusien kyberriskien tunnistamiseen ja olemassa olevien kyberriskien päivittämiseen.</t>
  </si>
  <si>
    <t>Kumppaniverkoston riskienhallinnan osion toimenpiteistä [kts. THIRDPARTY] saatua tietoa käytetään uusien kyberriskien tunnistamiseen ja olemassa olevien kyberriskien päivittämiseen.</t>
  </si>
  <si>
    <t>Poikkeamia organisaation tavoitellun kyberarkkitehtuurin ja toteutettujen järjestelmien ja verkkojen välillä käytetään hyväksi uusien kyberriskien tunnistamiseen ja olemassa olevien kyberriskien päivittämiseen [kts. ARCHITECTURE-1h].</t>
  </si>
  <si>
    <t>Tunnistetut riskit analysoidaan, jotta niiden vaikutus organisaation toimintaan voidaan arvioida, ne voidaan luokitella ja priorisoida, ja oikea strategia sekä riittävät toimenpiteet voidaan päättää (esimerkiksi: todennäköisyyden/vaikutuksen pienentäminen, riskin hyväksyminen, riskin välttäminen tai riskin jakaminen). Analysoinnin yksityiskohtaisuus voi vaihdella, riippuen riskin laadusta ja saatavilla olevan tiedon määrästä ja laadusta, mutta käytettävän menetelmän tulisi olla yhtenevä koko organisaatiossa.</t>
  </si>
  <si>
    <t>Riskeihin reagoimisen keinot valitaan ja toteutetaan noudattaen määriteltyjä menetelmiä, jotka pohjautuvat analysointiin ja priorisointiin.</t>
  </si>
  <si>
    <t>Tuotteiden ja palveluiden valintaan vaikuttaa arvio niiden kyberkyvykkyyksistä. Tasolla 1 tämän ei tarvitse olla systemaattista ja säännöllistä.</t>
  </si>
  <si>
    <t>Uhkien ja haavoittuvuuksien hallinnan osiossa arvioidaan organisaation kykyä määritellä ja ylläpitää suunnitelmia, prosesseja ja tekniikoita kyberuhkien ja -haavoittuvuuksien havainnointiin, tunnistamiseen, analysointiin, hallintaan ja niihin puuttumiseen - suhteessa organisaatioon kohdistuviin riskeihin ja organisaation tavoitteisiin. Kyberuhalla tarkoitetaan mitä tahansa tilannetta tai tapausta, joka voi vaikuttaa negatiivisesti organisaation omiin resursseihin ja toimintaan (mukaan lukien esimerkiksi organisaation tavoitteet, toiminnot, julkisuuskuvan tai maineen) tai välillisesti muihin organisaatioihin (esimerkiksi organisaation IT-, OT- tai viestintäjärjestelmien luvattoman käytön, tuhoamisen, tiedon julkistamisen, peukaloinnin tai palvelunestohyökkäyksen seurauksena). IT-, OT- ja viestintäjärjestelmiin kohdistuu laaja joukko erilaisia uhkia, joihin voi lisäksi liittyä erilaisia uhkatekijöitä, haittaohjelmia (kuten viruksia ja matoja) tai laajamittaisia hajautettuja palvelunestohyökkäyksiä. Kyberhaavoittuvuus on IT-, OT- tai viestintäjärjestelmässä, laitteessa, toimintatavassa tai sisäisessä suojausmekanismissa oleva puute tai aukko, jota mahdollinen uhka voi käyttää hyväksi.</t>
  </si>
  <si>
    <t>Haavoittuvuuksien vähentäminen alkaa haavoittuvuustiedon keräämisellä ja analysoinnilla. Haavoittuvuuksia voidaan kartoittaa esimerkiksi automaattisten skannaustyökalujen avulla, verkkojen tunkeutumistestauksilla, kyberharjoituksilla tai auditoinneilla. Haavoittuvuuksien analysoinnissa tulisi ottaa huomioon sekä paikallinen vaikutus (eli haavoittuvuuden mahdollinen vaikutus suojattavaan kohteeseen itseensä), että suojattavan kohteen laajempi merkitys koko toiminnolle. Haavoittuvuuksia voidaan torjua suorittamalla suojaavia toimenpiteitä, seuraamalla uhkatilannetta, asentamalla tietoturvapäivityksiä tai muilla keinoin.</t>
  </si>
  <si>
    <t>Haavoittuvuusarvioinnit suorittaa toiminnon operatiivisesta toiminnasta irrallaan oleva riippumaton taho.</t>
  </si>
  <si>
    <t>Uhkien tunnistaminen ja hallinta alkavat relevantin uhkatiedon keräämisellä luotettavista lähteistä, soveltamalla kerättyä tietoa suhteessa organisaation toimintaympäristöön ja reagoimalla niihin uhkiin, jotka voivat uhata palveluiden toimintavarmuutta. Organisaation uhkaprofiili sisältää kuvaukset mahdollisista uhkatekijöistä, mukaan lukien uhkatekijöiden kyvykkyyksistä, tavoitteista ja kohteista. Uhkaprofiilia voidaan käyttää uhkien tarkempaan tunnistamiseen ja sitä voidaan hyödyntää osana riskien analysointia, arviointia [kts. RISK] ja kyberturvallisuuden tilannekuvan muodostamiseen [kts. SITUATION].</t>
  </si>
  <si>
    <t>Toiminnolle on määritetty uhkaprofiili. Uhkaprofiilissa kuvataan mahdolliset uhkatekijät sekä esimerkiksi näiden motiivit, aikomukset, kyvykkyydet ja kohteet.</t>
  </si>
  <si>
    <t>Kyberturvallisuuteen liittyvät vastuut on osoitettu nimetyille rooleille (mukaan lukien mahdolliset ulkoiset palveluntarjoajat).</t>
  </si>
  <si>
    <t>Osoitettuja kyberturvallisuuden vastuita hallitaan siten, että varmistutaan niiden riittävyydestä ja riittävästä päällekkäisyydestä (mukaan lukien henkilöstönvaihdosten suunnittelu).</t>
  </si>
  <si>
    <t>Organisaation kyberhenkilöstön (eli työntekijöiden, joilla tehtävänkuvaan kuuluu kyberturvallisuuteen liittyviä vastuita) kehittämiseen kuuluu olemassa olevien työntekijöiden kouluttaminen ja tarvittaessa uusien työntekijöiden rekrytointi tunnistettujen osaamispuutteiden täyttämiseksi. Rekrytointiprosesseissa tulee huomioida esimerkiksi se, että sekä rekrytoijat että haastateltavat ovat tietoisia organisaation kyberhenkilöstöön kohdistuvista tarpeista. Lisäksi työntekijöiden (ja ulkoisten toimittajien) tulisi osallistua säännöllisesti koulutuksiin, joilla lisätään henkilöstön kyberturvallisuustietoisuutta (esimerkiksi tietojenkalastelun tai muiden uhkien pienentämiseksi). Koulutusten ja tietoisuuskampanjoiden tehokkuutta tulisi arvioida tarpeen mukaan.</t>
  </si>
  <si>
    <t>Jokaista työtehtävää varten teetetään soveltuvat tarkistukset, jotka ovat suhteessa työtehtävän riskeihin (mukaan lukien työntekijät, toimittajat ja alihankkijat).</t>
  </si>
  <si>
    <t>Kyberarkkitehtuurin kehittäminen</t>
  </si>
  <si>
    <t>Organisaatiolla on suunnitelma tai strategia kyberarkkitehtuurin kehittämiselle (joka sisältää esimerkiksi kyberarkkitehtuurin tavoitteet, prioriteetit, vastuut ja seurannan). Tasolla 1 sen kehittämisen ja ylläpidon ei tarvitse olla systemaattista ja säännöllistä.</t>
  </si>
  <si>
    <t>Kyberarkkitehtuurin kehittämiseksi on määritetty suunnitelma tai strategia, jota ylläpidetään. Kyberarkkitehtuurin kehittämissuunnitelma tukee organisaation kyberturvallisuusstrategiaa [kts. PROGRAM-1b] ja yritysarkkitehtuuria (myös "kokonaisarkkitehtuuri") sekä noudattaa niiden periaatteita ja vaatimuksia.</t>
  </si>
  <si>
    <t>Kyberarkkitehtuurille on määritetty hallintamalli (ref. "governance"), jota ylläpidetään (esim. arkkitehtuurin arviointitoimikunta). Hallintamalli kattaa vaatimukset säännöllisistä arkkitehtuurikatselmoinneista sekä päätöksenteon poikkeusprosessille.</t>
  </si>
  <si>
    <t>Kyberarkkitehtuurin kehittämissuunnitelma tai strategia ja kyberarkkitehtuurin hallinta ovat linjassa organisaation yritysarkkitehtuuristrategian (myös "kokonaisarkkitehtuuri") ja yritysarkkitehtuurin hallinnan kanssa.</t>
  </si>
  <si>
    <t>Kyberriskienhallintaan kuuluu riskien tunnistaminen ja arviointi, käsittely (esimerkiksi hyväksymällä, välttämällä, pienentämällä tai siirtämällä) ja seuranta siten, että se on linjassa organisaatioiden tarpeiden kanssa. Keskeistä näille toimille on yhtenäinen ymmärrys kyberriskeistä ja suunnitelma niiden hallintaan. Joissakin organisaatioissa tätä kuvataan erillisen kyberriskienhallinnan strategian kautta. Kyberriskienhallintastrategia on organisaation ylätason strategia, joka määrittää organisaation riskinottohalukkuuden ja asettaa suunnan kyberriskien arvioinnille ja hallintatoimien priorisoinnille. Kyberriskienhallintastrategia kattaa mm. menetelmät kyberriskien arviointiin, strategian riskien monitorointiin sekä organisaation kyberturvallisuuden hallintamallin ("cybersecurity governance") määrittelyn. Strategiaan kuuluu olennaisena osana määrittää organisaatiotasoiset riskien arviointikriteerit (esim. riskirajat, käytettävissä olevat riskienhallintatoimenpiteet), jotka puolestaan ohjaavat koko organisaation kyberturvallisuusohjelmaa [kts. PROGRAM]. Kyberriskienhallintastrategian tulee olla linjassa organisaation yleisen riskienhallintastrategian kanssa, jotta voidaan varmistua että kyberriskejä hallitaan osana organisaation laajempia päämääriä ja tavoitteita.</t>
  </si>
  <si>
    <t>Organisaation kyberriskienhallintaa ohjaa suunnitelma (esimerkiksi strategia tai vastaava johtotason politiikka). Tasolla 1 sen kehittämisen ja ylläpidon ei tarvitse olla systemaattista ja säännöllistä.</t>
  </si>
  <si>
    <t>Organisaation kyberriskienhallintaa ohjaa järjestelmällinen suunnitelma, jota ylläpidetään säännöllisesti ja joka tukee organisaation laajempaa kyberturvallisuuden kehittämisen suunnitelmaa [kts. PROGRAM-1b) ja organisaation yritysarkkitehtuuria (myös "kokonaisarkkitehtuuri").</t>
  </si>
  <si>
    <t>Kyberriskienhallintaa varten on määritetty hallintamalli (ref. "governance"), jota ylläpidetään säännöllisesti. Hallintamalliin kuuluvat mm. riskienhallinnan vastuut, velvollisuudet ja päätöksentekorakenteet.</t>
  </si>
  <si>
    <t>Kyberriskienhallintaprosessin ja -suunnitelman mukaisia toimenpiteitä ohjaa koko organisaation laajuinen riskienhallintaprosessi ja -suunnitelma.</t>
  </si>
  <si>
    <t>Kumppaniverkoston riskien hallinta (THIRDPARTY)</t>
  </si>
  <si>
    <t>Kumppaniverkoston tunnistaminen ja priorisointi</t>
  </si>
  <si>
    <t>Merkittävät kumppaniverkoston IT-riippuvuudet (ja mahdolliset OT-riippuvuudet) on tunnistettu (tällä tarkoitetaan sellaisia sisäisiä tai ulkoisia toimijoita, joista toiminto on riippuvainen - mukaan lukien toimintojen operoinnista vastaavat kumppanit). Tasolla 1 tämän ei tarvitse olla systemaattista ja säännöllistä.</t>
  </si>
  <si>
    <t>Kumppaniverkoston toimijat, jotka omistavat, hallinnoivat tai pääsevät muutoin käyttämään toiminnon kannalta tärkeitä laitteita, ohjelmistoja tai tietovarantoja, on tunnistettu. Tasolla 1 tämän ei tarvitse olla systemaattista ja säännöllistä.</t>
  </si>
  <si>
    <t>Kumppaniverkoston toimijat on priorisoitu käyttäen määriteltyjä kriteerejä (esimerkiksi tärkeys toiminnolle, mahdollisen loukkauksen tai häiriötilanteen vaikutus, mahdollisuus neuvotella sopimuksiin asetettavista kyberturvallisuusvaatimuksista).</t>
  </si>
  <si>
    <t>Korotettu prioriteetti on osoitettu sellaisille toimittajille ja muille kumppaniverkoston toimijoille, joiden vaarantuminen tai häiriintyminen voisi johtaa merkittäviin seuraamuksiin (esimerkiksi riippuvuudet yksittäisistä toimittajista tai toimittajista, joilla on erityisoikeuksia).</t>
  </si>
  <si>
    <t>Toimittajien ja muiden kumppaniverkoston toimijoiden priorisointia päivitetään aika ajoin ja määriteltyjen tilanteiden kuten järjestelmämuutosten tai ulkoisten tapahtumien yhteydessä.</t>
  </si>
  <si>
    <t>Kumppaniverkostoon liittyvien riskien hallinta</t>
  </si>
  <si>
    <t>Toimittajien ja muiden kumppaniverkoston toimijoiden valintaan vaikuttaa arvio niiden kyberturvallisuuskelpoisuuksista. Tasolla 1 tämän ei tarvitse olla systemaattista ja säännöllistä.</t>
  </si>
  <si>
    <t>Määriteltyjä menetelmiä noudatetaan, kun tunnistetaan kyberturvallisuusvaatimuksia ja toteutetaan niihin liittyviä suojaustoimia, joilla suojaudutaan toimittajista ja kumppaniverkoston toimijoista aiheutuvilta riskeiltä.</t>
  </si>
  <si>
    <t>Määriteltyjä menetelmiä noudatetaan, kun arvioidaan ja valitaan toimittajia ja muita kumppaniverkoston toimijoita.</t>
  </si>
  <si>
    <t>Tiukempia suojaustoimia toteutetaan korkean prioriteetin toimittajille ja muille kumppaniverkoston toimijoille.</t>
  </si>
  <si>
    <t>Kyberturvallisuusvaatimukset ovat virallinen osa toimittajien ja muiden kumppaniverkoston toimijoiden kanssa laadittavia sopimuksia.</t>
  </si>
  <si>
    <t>Toimittajat ja muut kumppaniverkoston toimijat osoittavat aika ajoin kykynsä täyttää asetetut kyberturvallisuusvaatimukset.</t>
  </si>
  <si>
    <t>Toimittajille ja muille kumppaniverkoston toimijoille asetetut kyberturvallisuusvaatimukset sisältävät soveltuvin osin vaatimuksia turvallisesta ohjelmisto- ja tuotekehityksestä.</t>
  </si>
  <si>
    <t>Koulutustoiminnan tehokkuutta arvioidaan aika ajoin ja koulutusta kehitetään tarpeen mukaan.</t>
  </si>
  <si>
    <t>Organisaation ylimmällä johdolla on vastuu riittävien resurssien turvaamisesta kriittisten palveluiden tuottamiseen ja päätöksentekovaltuuksien delegoinnista organisaatiossa siten, että päätöksenteko on tehokasta ja se tehdään oikeassa paikassa. Kriittisten palveluiden toimittamiseen liittyvien tietoverkkojen ja -järjestelmien riskit tulee arvioida osana koko organisaation riskejä.</t>
  </si>
  <si>
    <t>Kyberturvallisuusarkkitehtuurin (eli kyberarkkitehtuurin) osiossa arvioidaan organisaation kykyä hallita ja ylläpitää kyberturvallisuustoimintaansa. Organisaation tulee luoda ja ylläpitää rakenteita, joilla se hallinnoi ja ohjaa organisaation kyberturvallisuuskontrolleja, -prosesseja ja muuta kyberturvallisuuden toimintaa suhteessa sekä organisaation omaisuuteen kohdistuviin riskeihin, että organisaation asettamiin tavoitteisiin.</t>
  </si>
  <si>
    <t>Kyberarkkitehtuuri luo edellytykset suunnitella ja kehittää organisaation kyberturvallisuutta kokonaisuutena pistemäisten ratkaisuiden, kuten yksittäisten identiteetin- tai pääsynhallintaratkaisujen, sijasta. Kyberarkkitehtuurin avulla voidaan lähestyä kriittisten järjestelmien ja tiedon suojaamista tunnettujen arkkitehtuurimenetelmien kautta (esim. tunnistaminen-suojautuminen-reagointi-palautuminen). Tällaisiin menetelmiin kuuluvat mm. verkkojen segmentointi, ylläpitoratkaisut, salausmenetelmät ja jäljityslokit ja niitä voidaan käyttää yhdessä saatavuuteen liittyvien menetelmien kuten monitoroinnin, palautusmenetelmien tai varmennuksen kanssa. Kun kyberarkkitehtuuri suunnitellaan toimimaan yhdessä organisaation yritysarkkitehtuuristrategian kanssa (myös "kokonaisarkkitehtuuri"), toimii se syötteenä mm. riskianalyyseille ja suojattavien kohteiden konfiguroinnille.</t>
  </si>
  <si>
    <t>KM80</t>
  </si>
  <si>
    <t>KM81</t>
  </si>
  <si>
    <t>Importing previous results and reference data</t>
  </si>
  <si>
    <t>Arviointitulosten ja vertailutiedon tuonti</t>
  </si>
  <si>
    <t>Previous results (for reporting)</t>
  </si>
  <si>
    <t>Reference results (for reporting)</t>
  </si>
  <si>
    <t>Vertailutulokset (raporteille)</t>
  </si>
  <si>
    <t>Aiemmat arviointitulokset (raporteille)</t>
  </si>
  <si>
    <t>Previous results (for assessment sheets)</t>
  </si>
  <si>
    <t>Aiemmat arviointitulokset (arviointivälilehdille)</t>
  </si>
  <si>
    <t>KM82</t>
  </si>
  <si>
    <t>Values entered into this table are presented on the various assessment sheets next to the current assessment (columns O-S).</t>
  </si>
  <si>
    <t>Tähän syötetyt tulokset näkyvät Kybermittarin arviointiosioissa nykyisten arvioiden vieressä (sarakkeissa O-S).</t>
  </si>
  <si>
    <t>Manufacturing</t>
  </si>
  <si>
    <t>Teollisuustuotanto</t>
  </si>
  <si>
    <t>Industriproduktion</t>
  </si>
  <si>
    <t>Education</t>
  </si>
  <si>
    <t>Utbildning</t>
  </si>
  <si>
    <t>Julkinen hallinto</t>
  </si>
  <si>
    <t>Muu</t>
  </si>
  <si>
    <t>Other</t>
  </si>
  <si>
    <t>Majoitus- ja ravitsemistoiminta</t>
  </si>
  <si>
    <t>Kaivostoiminta ja louhinta</t>
  </si>
  <si>
    <t>Övrig</t>
  </si>
  <si>
    <t>Offentlig förvaltning</t>
  </si>
  <si>
    <t>Administration of the State and the economic and social policy of the community</t>
  </si>
  <si>
    <t>Identitetshantering och åtkomstkontroll (ACCESS)</t>
  </si>
  <si>
    <t>I avsnittet för identitets- och åtkomstkontroll bedöms organisationens förmåga att kontrollera och begränsa den logiska och fysiska åtkomsten till organisationens egendom. Åtkomstkontrollen ska hanteras i relation till de risker som berör organisationen och organisationens mål. I detta sammanhang tillämpas skyddsmekanismerna för logisk åtkomstkontroll på den utrustning, programvara och information som är viktig för verksamheten och skyddsmekanismerna för fysisk åtkomstkontroll på den utrustning och de lokaler som är viktiga för verksamheten. Automatiska skyddsmekanismer tillämpas i samband med både logisk och fysisk åtkomstkontroll. Svag åtkomstkontroll kan leda till olovlig användning, publicering, förstöring eller manipulering av utrustning, programvara eller information, och höjer dessutom organisationens risknivå i onödan.</t>
  </si>
  <si>
    <t>Skapande och hantering av identitet</t>
  </si>
  <si>
    <t>Identitetshanteringen utgår från att man skapar identiteter för aktörerna, som tas ur bruk när de inte längre behövs. Aktörerna kan vara personer (organisationens arbetstagare eller personer utanför organisationen) men även apparater, system och processer som har ett behov av åtkomst till skyddade objekt. Till upprätthållandet av identiteter hör spårbarhet (alltså säkerställande av identiteternas korrekthet och aktualitet) samt att de tas ur bruk. Användning av delade identiteter kan kräva tilläggsåtgärder för att garantera en tillräcklig säkerhetsnivå.</t>
  </si>
  <si>
    <t>För arbetstagare och andra entiteter (såsom processer eller apparater som behöver åtkomst till apparater, programvara eller informationsresurser som hör till verksamheten) anvisas separata identiteter. (Obs! Detta krav begränsar dock inte användningen av delade identiteter.) På nivå 1 behöver detta inte vara systematiskt och regelbundet.</t>
  </si>
  <si>
    <t>Uppgifter för åtkomstbehörigheter (såsom lösenord, smartkort eller nycklar) delas ut till arbetstagare och andra entiteter. På nivå 1 behöver detta inte vara systematiskt och regelbundet.</t>
  </si>
  <si>
    <t>Identiteter tas ur bruk när de inte längre behövs. På nivå 1 behöver detta inte vara systematiskt och regelbundet.</t>
  </si>
  <si>
    <t>Man säkerställer identiteternas aktualitet genom att kontrollera och uppdatera dem då och då samt i specifika situationer som i samband med ändringar i systemet eller organisationsstrukturen.</t>
  </si>
  <si>
    <t>Identiteterna tas ur bruk inom ramen för maximala tidsfrister som definieras av organisationen, när de inte längre behövs.</t>
  </si>
  <si>
    <t>Starkare identifiering eller flerfaktorsautentisering krävs för användnings- och åtkomsträttigheter som är förknippade med högre risk (exempelvis hanterings- och administratörskoder, delade koder eller användning av distansförbindelser).</t>
  </si>
  <si>
    <t>Hantering av logiska användningsrättigheter</t>
  </si>
  <si>
    <t>Logisk åtkomstkontroll (för datasystem) omfattar definition av krav på användningsrättigheter samt beviljande och urbruktagande av rättigheter enligt de uppställda målen. Kraven på användningsrättigheter kopplas till egendom såsom apparater, programvara eller information, och kraven avgör bland annat hurdana aktörer som kan få åtkomst till objektet, inom vilka gränser åtkomst tillåts eller om det finns specifika krav på identifieringsuppgifter såsom lösenord. För externa leverantörer kan man exempelvis tillåta åtkomst endast under på förhand fastställa underhållsfönster och med säker identifiering. På högre mognadsnivåer krävs närmare övervakning av användningsrättigheter: användningsrättigheter beviljas först när man har beaktat de risker som berör verksamhetens delområde, och användningsrättigheterna ses också över regelbundet.</t>
  </si>
  <si>
    <t>Metoder för tillsyn av hanteringen av logiska användningsrättigheter används. På nivå 1 behöver detta inte vara systematiskt och regelbundet.</t>
  </si>
  <si>
    <t>Användningsrättigheter tas bort när de inte längre behövs. På nivå 1 behöver detta inte vara systematiskt och regelbundet.</t>
  </si>
  <si>
    <t>Närmare krav har ställts upp för användningsrättigheterna (exempelvis regler för hurdana entiteter som kan beviljas åtkomst, inom vilka gränser åtkomst kan beviljas, om distansförbindelser ska begränsas eller om det finns särskilda krav för behörighetsuppgifter såsom lösenord).</t>
  </si>
  <si>
    <t>I kraven på användningsrättigheter har man beaktat principen om minsta befogenheter (ref. ”principle of least privilege”).</t>
  </si>
  <si>
    <t>I kraven på användningsrättigheter har man beaktat separation av uppgifter (ref. ”separation of duties”).</t>
  </si>
  <si>
    <t>Begäranden om användningsrättigheter granskas och godkänns av ägaren till utrymmet, apparaten, programvaran eller informationsresursen i fråga.</t>
  </si>
  <si>
    <t>Användningsrättigheter som är förknippade med högre risk granskas grundligare och användningen av dem övervakas striktare.</t>
  </si>
  <si>
    <t>Användningsrättigheterna granskas och uppdateras då och då samt i specifika situationer såsom när organisationsstrukturen förändras eller efter en tillfällig förhöjning av användningsrättigheterna.</t>
  </si>
  <si>
    <t>Försök att logga in och upprätta kontakt följs upp, och avvikelser som upptäcks i dem fungerar som indikatorer för cybersäkerhetshändelser.</t>
  </si>
  <si>
    <t>Fysisk åtkomstkontroll</t>
  </si>
  <si>
    <t>Fysisk åtkomstkontroll omfattar fastställande av krav för åtkomsträttigheter samt beviljande och urbruktagande av rättigheter enligt de uppställda kraven. Kraven på användningsrättigheter kopplas till fysiskt tillträde till ett utrymme där det finns egendom såsom informationsmaterial, apparater eller datanätverkskablar. Kraven avgör bland annat hurdana aktörer som kan få åtkomst till objektet, inom vilka gränser åtkomst tillåts eller om det finns specifika krav på identifieringsmetoder (nyckel, nyckelkort, biometrik, PIN etc.). Externa leverantörer kan exempelvis tillåtas åtkomst endast under på förhand fastställda underhållsfönster eller enligt någon annan tidsbegränsning. På högre mognadsnivåer krävs närmare övervakning av användningsrättigheterna: åtkomsträttigheter beviljas först när man har beaktat de risker som berör verksamhetens delområde, och åtkomsträttigheterna ses också över regelbundet.</t>
  </si>
  <si>
    <t>Metoder för övervakning av den fysiska åtkomstkontrollen används (såsom stängsel, lås eller skyltar). På nivå 1 behöver detta inte vara systematiskt och regelbundet.</t>
  </si>
  <si>
    <t>Åtkomsträttigheter tas bort när de inte längre behövs. På nivå 1 behöver detta inte vara systematiskt och regelbundet.</t>
  </si>
  <si>
    <t>Man för loggar över användningen av åtkomsträttigheter. På nivå 1 behöver detta inte vara systematiskt och regelbundet.</t>
  </si>
  <si>
    <t>Närmare krav har ställts upp för åtkomsträttigheterna (exempelvis regler för vem som kan beviljas åtkomst, hur åtkomsträttigheter beviljas eller inom vilka gränser åtkomst tillåts).</t>
  </si>
  <si>
    <t>I kraven på åtkomsträttigheter har man beaktat principen om minsta befogenheter (ref. ”principle of least privilege”).</t>
  </si>
  <si>
    <t>Begäranden om åtkomsträttigheter granskas och godkänns av ägaren till utrymmet, apparaten, programvaran eller informationsresursen i fråga.</t>
  </si>
  <si>
    <t>Åtkomsträttigheter som är förknippade med högre risk granskas grundligare och användningen av dem övervakas striktare.</t>
  </si>
  <si>
    <t>Åtkomsträttigheterna granskas och uppdateras då och då.</t>
  </si>
  <si>
    <t>Användningen av åtkomsträttigheter följs upp och man strävar efter att identifiera eventuella cybersäkerhetshändelser utifrån den.</t>
  </si>
  <si>
    <t>Hanteringsåtgärder</t>
  </si>
  <si>
    <t>Ju fastare och djupare vissa rutiner eller aktiviteter är integrerade i det dagliga arbetet i organisationen, desto mer sannolikt är det att organisationen fortsätter tillämpa dem över tid. Rutinerna och aktiviteterna tillämpas även i krissituationer och resultaten är av jämn och hög kvalitet och upprepbara.</t>
  </si>
  <si>
    <t>För verksamheten inom ämnesområdet ACCESS har man fastställt dokumenterade rutiner, som följs och uppdateras regelbundet.</t>
  </si>
  <si>
    <t>Det finns tillräckligt med resurser för verksamheten inom ämnesområdet ACCESS (personal, finansiering och verktyg).</t>
  </si>
  <si>
    <t>Verksamheten inom ämnesområdet ACCESS styrs genom krav som ställts upp i policyn på organisationens ledningsnivå (eller i motsvarande anvisningar).</t>
  </si>
  <si>
    <t>De arbetstagare som utför verksamheten inom ämnesområdet ACCESS har tillräckliga kunskaper och färdigheter för sina uppgifter.</t>
  </si>
  <si>
    <t>De ansvar, kontoskyldigheter och behörigheter som krävs för verksamheten inom ämnesområdet ACCESS har delats ut till lämpliga arbetstagare.</t>
  </si>
  <si>
    <t>Effektiviteten hos verksamheten inom ämnesområdet ACCESS utvärderas och följs upp.</t>
  </si>
  <si>
    <t>Cybersäkerhetsarkitektur (ARCHITECTURE)</t>
  </si>
  <si>
    <t>I avsnittet om cybersäkerhetsarkitekturen (dvs. cyberarkitekturen) bedöms organisationens förmåga att hantera och upprätthålla sin cybersäkerhetsverksamhet. Organisationen ska skapa och upprätthålla strukturer genom vilka den hanterar och styr organisationens cybersäkerhetskontroller och -processer samt annan cybersäkerhetsverksamhet i förhållande till både de risker som riktar sig mot organisationens egendom och de mål som organisationen ställt upp.</t>
  </si>
  <si>
    <t>Utveckling av cyberarkitekturen</t>
  </si>
  <si>
    <t>En cyberarkitektur ger förutsättningar att planera och utveckla organisationens cybersäkerhet som en helhet i stället för genom punktartade lösningar, som enskilda lösningar för identitetshantering och åtkomstkontroll. Med hjälp av en cyberarkitektur kan man närma sig skyddet av kritiska system och uppgifter genom kända arkitekturmetoder (t.ex. identifiering-skydd-reaktion-återställning). Till dessa metoder hör bland annat segmentering av nät, underhållslösningar, krypteringsmetoder och spårningsloggar, och de kan användas tillsammans med metoder som anknyter till tillgänglighet såsom övervakning eller med återställningsmetoder eller certifikat. När cyberarkitekturen planeras för att fungera tillsammans med organisationens företagsarkitekturstrategi (även ”helhetsarkitektur) ger den input för bland annat riskanalyser och konfigurering av skyddade objekt.</t>
  </si>
  <si>
    <t>Organisationen har en plan eller strategi för utveckling av cyberarkitekturen (som inkluderar exempelvis cyberarkitekturens mål, prioriteringar, ansvar och uppföljning). På nivå 1 behöver utvecklingen och upprätthållandet inte vara systematiska och regelbundna.</t>
  </si>
  <si>
    <t>Man har utarbetat en plan eller strategi för utveckling av cyberarkitekturen, som också upprätthålls. Utvecklingsplanen för cyberarkitekturen stöder organisationens cybersäkerhetsstrategi [se PROGRAM-1b] och företagsarkitektur (även ”helhetsarkitektur”) samt följer deras principer och krav.</t>
  </si>
  <si>
    <t>Cyberarkitekturen har definierats och dokumenteras, och den upprätthålls. Arkitekturen omfattar organisationens IT/OT-system och nätverk samt är i linje med kategoriseringen och prioriteringen av system, apparater, programvara och informationsresurser.</t>
  </si>
  <si>
    <t>För cyberarkitekturen har fastställts en administrationsmodell (ref. ”governance”) som upprätthålls (t.ex. kommitté för utvärdering av arkitekturen). Administrationsmodellen kan täcka kraven på arkitekturgranskningar samt beslutsfattandet för avvikelseprocesser.</t>
  </si>
  <si>
    <t>Cyberarkitekturen definierar cybersäkerhetskraven för de apparater, programvaror och informationsresurser som är viktiga för verksamheten.</t>
  </si>
  <si>
    <t>Skyddsmekanismerna för cybersäkerheten har valts ut och förverkligats så att cybersäkerhetskraven uppfylls.</t>
  </si>
  <si>
    <t>Utvecklingsplanen eller strategin för cyberarkitekturen samt hanteringen av cyberarkitekturen är i linje med organisationens företagsarkitekturstrategi (även ”helhetsarkitektur”) och med hanteringen av företagsarkitekturen.</t>
  </si>
  <si>
    <t>Organisationens systems och nätverks kravenlighet i förhållande till cyberarkitekturen bedöms då och då samt i specifika situationer såsom i samband med systemförändringar eller externa händelser.</t>
  </si>
  <si>
    <t>Cyberarkitekturen styrs av information från organisationens riskbedömningar [se RISK-3d] och av organisationens riskprofil [se THREAT-2d].</t>
  </si>
  <si>
    <t>Cyberarkitekturen gäller driftlägen som definierats på förhand [se SITUATION-3h].</t>
  </si>
  <si>
    <t>Skydd av datanäten som en del av cybersäkerhetsarkitekturen</t>
  </si>
  <si>
    <t>Nätsegmentering genomförs på fysisk eller logisk nivå och syftet är att minska angreppsytan. I en optimal situation har varje enhet i ett visst nätsegment ett giltigt existensberättigande i det aktuella segmentet.</t>
  </si>
  <si>
    <t>Organisationens IT-system har skiljts från eventuella OT-system genom fysisk eller logisk segmentering. På nivå 1 behöver detta inte vara systematiskt och regelbundet. [Tolkningsanvisning: om det inte finns OT-system eller motsvarande, ange praxisen som ”helt genomförd”]</t>
  </si>
  <si>
    <t>Apparater, programvaror och informationsresurser som är viktiga för funktionen har segmenterats logiskt eller fysiskt i olika säkerhetszoner utifrån de cybersäkerhetskrav som ställts upp för dem [se ASSET-1a, ASSET-2a].</t>
  </si>
  <si>
    <t>I skyddet av nätverk beaktar man principerna om minsta behörigheter och minsta funktionalitet.</t>
  </si>
  <si>
    <t>Skyddet av nätverk har definierats och används för de utvalda apparat-, programvaru- och informationstyperna beroende på deras risk- och prioritetsnivå (exempelvis interna apparater, apparater i kanterna av nätverk, apparater som är kopplade till ett trådlöst nätverk, molnegendom, distansförbindelser och apparater som hanteras externt).</t>
  </si>
  <si>
    <t>Till skyddet av nätverk hör övervakning, analys och hantering av nätverkstrafiken i utvalda säkerhetszoner (exempelvis brandväggar, whitelisting, system för upptäckande och förhindrande av intrång (IDPS)).</t>
  </si>
  <si>
    <t>Nätverkstrafiken och e-posten övervakas, analyseras och hanteras (exempelvis genom att förhindra skadliga länkar eller misstänkta nedladdningar, genom autentisering av e-post eller genom att förhindra IP-adresser).</t>
  </si>
  <si>
    <t>Alla apparater, programvaror och informationsresurser har segmenterats i säkerhetszoner utifrån de cybersäkerhetskrav som ställts upp för dem.</t>
  </si>
  <si>
    <t>Isolering av nätverk har genomförts till tillämpliga delar så att apparater, programvaror och informationsresurser har segmenterats logiskt eller fysiskt i separata säkerhetsområden, som alla har egen autentisering.</t>
  </si>
  <si>
    <t>Eventuella OT-nätverk är funktionellt separerade från IT-nätverken så att OT-funktionerna inte störs om det uppstår fel på IT-systemen. [Tolkningsanvisning: om det inte finns OT-system eller motsvarande, ange praxisen som ”helt genomförd”]</t>
  </si>
  <si>
    <t>Nätförbindelserna skyddas i förhållande till den risk som de orsakar för organisationen (exempelvis användning av skyddade förbindelser i administrations- och underhållsfunktioner som sker över distansförbindelser).</t>
  </si>
  <si>
    <t>Apparaternas uppkopplingar till nätet hanteras så att endast lovliga apparater kan kopplas upp (exempelvis åtkomstkontroll på apparatnivå (NAC).</t>
  </si>
  <si>
    <t>Cyberarkitekturen ger möjlighet att skilja förorenade apparater, programvaror och informationsresurser från andra.</t>
  </si>
  <si>
    <t>Apparaternas och programvarans säkerhet som en del av cybersäkerhetsarkitekturen</t>
  </si>
  <si>
    <t>Tillräckliga och ändamålsenliga skyddsmekanismer har förverkligats för apparater, programvaror och informationsresurser som är viktiga för verksamheten, med beaktande av hur kritiska de är. Åtkomsträttigheterna är begränsade och endast de funktioner som behövs är aktiverade. Etablerade och säkra konfigurationer används. Datasäkerhetsprogramvara och -komponenter används till tillämpliga delar.</t>
  </si>
  <si>
    <t>Mekanismer för skydd av cybersäkerheten används för apparater, programvaror och informationsresurser som är viktiga för funktionen. På nivå 1 behöver detta inte vara systematiskt och regelbundet.</t>
  </si>
  <si>
    <t>Striktare skyddsmekanismer används för apparater, programvaror och informationsresurser med högre prioritet.</t>
  </si>
  <si>
    <t>Principen om minsta användningsrättigheter har tillämpats (exempelvis genom att begränsa rättigheterna till hanterings- och administratörskoder).</t>
  </si>
  <si>
    <t>Principen om minsta funktionalitet har tillämpats (exempelvis genom att begränsa de tjänster, program och portar som kan användas eller antalet apparater som kan anslutas).</t>
  </si>
  <si>
    <t>Säkra konfigurationer används till tillämpliga delar som en del av ibruktagandeprocessen för apparater, programvaror och informationsresurser.</t>
  </si>
  <si>
    <t>Datasäkerhetsprogramvara krävs till tillämpliga delar som en del av apparaternas konfiguration (exempelvis säkerhets- och observationslösningar för terminaler eller terminalspecifika brandväggslösningar).</t>
  </si>
  <si>
    <t>Flyttbara och löstagbara minnesanordningar övervakas (exempelvis genom att begränsa användningen av USB-minnen eller externa hårddiskar).</t>
  </si>
  <si>
    <t>Skyddsmekanismer för cybersäkerhet (inklusive metoder för fysisk åtkomstkontroll) används för alla apparater, programvaror och informationsresurser som hör till funktionen, antingen på apparatnivå eller på annat sätt, om kontroller på apparatnivå inte kan genomföras.</t>
  </si>
  <si>
    <t>Konfigurationer och förändringar i apparaternas programvara (firmware) hanteras under apparatens hela livstid.</t>
  </si>
  <si>
    <t>Skyddsmekanismer används för att förhindra användning av olovlig kod.</t>
  </si>
  <si>
    <t>Använd applikationssäkerhet som en del i cybersäkerhetsarkitekturen</t>
  </si>
  <si>
    <t>Applikationssäkerhet har en central roll i cyberarkitekturen, när man skyddar användare och information. Applikationer som utvecklas ska vara motståndskraftiga även i ogynnsamma förhållanden och mot missbruk. Applikationssäkerheten ska beaktas även när man använder tredjepartslösningar.</t>
  </si>
  <si>
    <t>Programvara och applikationer som utvecklas internt och som är avsedda att tas i bruk i utrustning eller programvara med hög prioritet [se ASSET-1d] utvecklas enligt principerna för säker applikationsutveckling.</t>
  </si>
  <si>
    <t>I valet av programvara och applikationer som anskaffas till utrustning eller programvara med hög prioritet [se ASSET-1d] beaktas om leverantören följer principerna för säker applikationsutveckling.</t>
  </si>
  <si>
    <t>I processen för ibruktagande av programvara och applikationer förutsätts säkra programvarukonfigurationer.</t>
  </si>
  <si>
    <t>Alla programvaror och applikationer som utvecklas internt utvecklas enligt principerna för säker applikationsutveckling.</t>
  </si>
  <si>
    <t>I val av programvara och applikationer som ska anskaffas beaktar man alltid om leverantören följer principerna för säker applikationsutveckling.</t>
  </si>
  <si>
    <t>I arkitekturgranskningsprocessen bedömer man nya och uppdaterade programvarors och applikationers säkerhet innan de tas in i produktionen.</t>
  </si>
  <si>
    <t>Äktheten hos programvaror och apparatprogramvaror (firmware) säkerställs innan de tas i bruk.</t>
  </si>
  <si>
    <t>Säkerheten hos internt utvecklade eller skräddarsydda programvaror och applikationer testas (exempelvis statisk eller dynamisk testning, fuzz-testning eller penetrationstestning) då och då samt i specifika situationer såsom i samband med systemförändringar eller externa händelser.</t>
  </si>
  <si>
    <t>Dataskydd som en del av cybersäkerhetsarkitekturen</t>
  </si>
  <si>
    <t>Cyberarkitekturen byggs upp kring den information som ska skyddas. För att känslig information ska kunna skyddas måste den först identifieras och klassificeras. De kontroller och metoder som används för skyddet, exempelvis processerna för kryptering och nyckelhantering, ska vara genomförda och användas systematiskt.</t>
  </si>
  <si>
    <t>Sparade känsliga uppgifter (”data at rest”) skyddas. På nivå 1 behöver detta inte vara systematiskt och regelbundet.</t>
  </si>
  <si>
    <t>All sparad information (”data at rest”) skyddas när det gäller utvalda typer av information [se ASSET-2d].</t>
  </si>
  <si>
    <t>All information som är under överföring (”data in transit”) skyddas när det gäller utvalda typer av information [se ASSET-2d].</t>
  </si>
  <si>
    <t>Krypteringsmetoder används för information av utvalda typer som har sparats eller är under överföring [se ASSET-2d].</t>
  </si>
  <si>
    <t>En infrastruktur för hantering av nycklar (exempelvis skapande, förvaring, förstöring, uppdatering och upphävning av nycklar) används som stöd för krypteringsmetoderna.</t>
  </si>
  <si>
    <t>Man använder skyddsmekanismer för att begränsa risken för att information stjäls (exempelvis verktyg som förhindrar radering av information).</t>
  </si>
  <si>
    <t>Till cyberarkitekturen hör skyddsmekanismer (exempelvis kryptering av apparaters hårddiskar) för information som sparats på apparater som kan tappas bort eller bli stulna.</t>
  </si>
  <si>
    <t>Cyberarkitekturen omfattar skyddsmetoder för applikationer, apparaters programvara (firmware) och olovliga ändringar av information.</t>
  </si>
  <si>
    <t>För verksamheten inom ämnesområdet ARCHITECTURE har man fastställt dokumenterade rutiner, som följs och uppdateras regelbundet.</t>
  </si>
  <si>
    <t>Det finns tillräckligt med resurser för verksamheten inom ämnesområdet ARCHITECTURE (personal, finansiering och verktyg).</t>
  </si>
  <si>
    <t>Verksamheten inom ämnesområdet ARCHITECTURE styrs genom krav som ställts upp i policyn på organisationens ledningsnivå (eller i motsvarande anvisningar).</t>
  </si>
  <si>
    <t>De arbetstagare som utför verksamheten inom ämnesområdet ARCHITECTURE har tillräckliga kunskaper och färdigheter för sina uppgifter.</t>
  </si>
  <si>
    <t>De ansvar, kontoskyldigheter och behörigheter som krävs för verksamheten inom ämnesområdet ARCHITECTURE har delats ut till lämpliga arbetstagare.</t>
  </si>
  <si>
    <t>Effektiviteten hos verksamheten inom ämnesområdet ARCHITECTURE utvärderas och följs upp.</t>
  </si>
  <si>
    <t>Hantering av egendom, förändringar och konfiguration (ASSET)</t>
  </si>
  <si>
    <t>I ämnesområdena för hantering av egendom, förändringar och konfigurationer bedömer man organisationens förmåga att hantera sin apparat-, programvaru- och informationsegendom i förhållande till de risker som berör organisationen och organisationens mål. Med egendom avses i detta sammanhang apparater, programvaror och information som är väsentliga för funktionen. Utöver IT-egendom ska man beakta organisationens eventuella OT-egendom.</t>
  </si>
  <si>
    <t>Hantering av apparater och programvara</t>
  </si>
  <si>
    <t>Ett register över de apparater och programvaror som är viktiga för funktionen är en viktig del av hanteringen av cybersäkerhetsrisker. Registrering av viktiga uppgifter såsom versionsnummer, plats, ägare eller kritiskhet är en förutsättning för många åtgärder för hantering av cybersäkerheten. Ett bra register kan vara till hjälp exempelvis när man behöver identifiera i vilka apparater programvara som behöver uppdateras finns installerad.</t>
  </si>
  <si>
    <t>Det finns ett register över apparater och programvaror som är viktiga för funktionen. (Beakta också apparater och programvaror i eventuella OT-miljöer.) På nivå 1 behöver upprätthållandet av registret inte vara systematiskt och regelbundet.</t>
  </si>
  <si>
    <t>I registret finns sådana apparater och programvaror som hör till funktionen, som skulle kunna användas för att uppnå en angripares mål.</t>
  </si>
  <si>
    <t>I registret anges sådana egenskaper hos apparaterna och programvaran som stöder organisationens cyberverksamhet (exempelvis apparatens eller programvarans plats, prioritet, operativsystem eller firmware-version).</t>
  </si>
  <si>
    <t>De apparater och programvaror som är registrerade i registret har prioriterats enligt fastställda prioriteringskriterier, som omfattar en bedömning av hur viktig apparaten eller programvaran är för funktionen.</t>
  </si>
  <si>
    <t>I prioriteringskriterierna beaktas också huruvida apparaten eller programvaran kan användas för att uppnå en angripares mål.</t>
  </si>
  <si>
    <t>Registret är komplett (dvs. det omfattar alla apparater och programvaror som behövs för funktionen).</t>
  </si>
  <si>
    <t>Registret är aktuellt (dvs. det uppdateras då och då samt i samband med specifika situationer såsom systemförändringar).</t>
  </si>
  <si>
    <t>Registret används för att identifiera cybersäkerhetsrisker (exempelvis för att identifiera sådana risker som anknyter till att egendomens användningstid eller användningssupport löper ut eller till enskilda apparater eller programvaror, där en funktionsstörning kan avbryta hela funktionen).</t>
  </si>
  <si>
    <t>Information som finns sparad i apparater förstörs eller raderas med säkra metoder innan apparaten tas i bruk på nytt eller när apparaten når slutet av sin livstid.</t>
  </si>
  <si>
    <t>Hantering av informationsresurser</t>
  </si>
  <si>
    <t>Ett register över den information som är viktig för funktionen är en del av hanteringen av cybersäkerhetsrisker. Sådana här informationsresurser kan anknyta till exempelvis kunder, produkter eller tjänster. Ett bra register kan exempelvis göra det lättare att identifiera de system där känsliga personuppgifter hanteras.</t>
  </si>
  <si>
    <t>Det finns ett register över de informationsresurser som är viktiga för funktionen (såsom kunduppgifter eller standardinställningarna för apparater och programvaror). (Observera också informationsresurser för eventuella OT-miljöer.) På nivå 1 behöver upprätthållandet av registret inte vara systematiskt och regelbundet.</t>
  </si>
  <si>
    <t>I registret finns sådana informationsresurser som hör till funktionen, som skulle kunna användas för att uppnå en angripares mål.</t>
  </si>
  <si>
    <t>I registret anges sådana egenskaper hos informationsresurserna som stöder organisationens cyberverksamhet (exempelvis säkerhetskopiornas plats och uppdateringsintervall, platsen där informationen är lagrad eller cybersäkerhetskraven för informationen).</t>
  </si>
  <si>
    <t>De informationsresurser som är registrerade i registret har prioriterats enligt fastställda prioriteringskriterier, som omfattar en bedömning av hur viktig informationsresursen är för funktionen.</t>
  </si>
  <si>
    <t>I prioriteringskriterierna beaktas också huruvida informationsresursen kan användas för att uppnå en angripares mål.</t>
  </si>
  <si>
    <t>Registret är komplett (dvs. det omfattar alla informationsresurser som behövs för funktionen).</t>
  </si>
  <si>
    <t>Registret används för att identifiera cybersäkerhetsrisker (exempelvis för att identifiera risker som anknyter till olovlig publicering, förstöring eller manipulering av information).</t>
  </si>
  <si>
    <t>Informationsresurser (såsom kunduppgifter eller standardinställningar för apparater och programvaror) förstörs eller raderas med lämpliga metoder, när den maximala tiden för användning eller sparande av informationen har löpt ut.</t>
  </si>
  <si>
    <t>Hantering av konfiguration</t>
  </si>
  <si>
    <t>Till hantering av konfiguration hör definition av grundläggande standardinställningar och användning av dem vid konfiguration av apparater och programvaror. Oftast strävar man efter att likadana apparater och programvaror ska konfigureras för att fungera på samma sätt. Å andra sidan omfattar hanteringen av konfigurationen av enskilda eller individualiserade apparater användning av grundläggande standardinställningar i inledningsskedet och identifiering av senare avvikelser.</t>
  </si>
  <si>
    <t>Grundläggande standardinställningar har skapats för apparaters, programvarors och informationsresursers konfigurationer. På nivå 1 behöver detta inte vara systematiskt och regelbundet.</t>
  </si>
  <si>
    <t>Grundläggande standardinställningar används när man skapar en ny konfiguration för en apparat, programvara eller informationsresurs eller återställer en gammal konfiguration.</t>
  </si>
  <si>
    <t>Till planeringen av grundläggande standardinställningar hör cybersäkerhetsmål.</t>
  </si>
  <si>
    <t>Till definitionen av de etablerade grundläggande inställningarna hör tillämpliga krav på organisationens cyberarkitektur [se ARCHITECTURE-1e].</t>
  </si>
  <si>
    <t>Konfigurationernas enhetlighet med de grundläggande standardinställningarna följs regelbundet under hela apparatens, programvarans eller informationsresursens livscykel.</t>
  </si>
  <si>
    <t>De etablerade grundläggande inställningarna granskas och uppdateras då och då samt i specifika situationer som vid systemförändringar eller när organisationens cyberarkitektur förändras.</t>
  </si>
  <si>
    <t>Hantering av förändringar</t>
  </si>
  <si>
    <t>Till hantering av förändringar i apparater, programvaror och information hör att bedöma begäranden av ändringar, följa processen för hantering av förändringar och identifiera olovliga förändringar. Genom en förhandsbedömning av förändringar kan man säkerställa att inga skadliga sårbarheter skapas i verksamhetsmiljön. Hanteringen av förändringar omfattar egendomens hela livscykel: definition av krav, testning, ibruktagande, underhåll och tagande ur bruk.</t>
  </si>
  <si>
    <t>Förändringar i registrerade apparater, programvaror och informationsresurser bedöms och godkänns innan de genomförs. På nivå 1 behöver detta inte vara systematiskt och regelbundet.</t>
  </si>
  <si>
    <t>Man för loggar över förändringar i registrerade apparater, programvaror och informationsresurser. På nivå 1 behöver detta inte vara systematiskt och regelbundet.</t>
  </si>
  <si>
    <t>Förändringar i apparater, programvaror och informationsresurser testas innan de genomförs.</t>
  </si>
  <si>
    <t>Rutinerna för hantering av förändringar omfattar apparaternas, programvarornas och informationens hela livscykel (exempelvis anskaffning, ibruktagande, användning och tagande ur bruk).</t>
  </si>
  <si>
    <t>Cybersäkerhetseffekterna av förändringar i apparater, programvaror och informationsresurser testas innan de genomförs.</t>
  </si>
  <si>
    <t>Loggarna för hantering av förändringar innehåller information om sådana utförda förändringar som påverkar cybersäkerhetskraven för apparaten, programvaran eller informationsresursen i fråga.</t>
  </si>
  <si>
    <t>För verksamheten inom ämnesområdet ASSET har man fastställt dokumenterade rutiner, som följs och uppdateras regelbundet.</t>
  </si>
  <si>
    <t>Det finns tillräckligt med resurser för verksamheten inom ämnesområdet ASSET (personal, finansiering och verktyg).</t>
  </si>
  <si>
    <t>Verksamheten inom ämnesområdet ASSET styrs genom krav som ställts upp i policyn på organisationens ledningsnivå (eller i motsvarande anvisningar).</t>
  </si>
  <si>
    <t>De arbetstagare som utför verksamheten inom ämnesområdet ASSET har tillräckliga kunskaper och färdigheter för sina uppgifter.</t>
  </si>
  <si>
    <t>De ansvar, kontoskyldigheter och behörigheter som krävs för verksamheten inom ämnesområdet ASSET har delats ut till lämpliga arbetstagare.</t>
  </si>
  <si>
    <t>Effektiviteten hos verksamheten inom ämnesområdet ASSET utvärderas och följs upp.</t>
  </si>
  <si>
    <t>Skydda kritiska tjänster</t>
  </si>
  <si>
    <t>Organisationen ska identifiera sin roll i tillhandahållandet av tjänster för samhället och hantera risker baserat på sin roll.</t>
  </si>
  <si>
    <t>Identifiera kritiska tjänster och beroendeförhållanden till tjänsterna</t>
  </si>
  <si>
    <t>Organisationen ska förstå sin roll i tillhandahållandet av kritiska tjänster för samhället, vilka krav tillhandahållandet av kritiska tjänster ställer och vilka konsekvenser ett misslyckat tillhandahållande kan ha.</t>
  </si>
  <si>
    <t>Kritiska tjänster som organisationen tillhandahåller samhället har identifierats och dokumenterats.</t>
  </si>
  <si>
    <t>Information som behövs för att tillhandahålla kritiska tjänster för samhället har identifierats och dokumenterats.</t>
  </si>
  <si>
    <t>Processer som behövs för att tillhandahålla kritiska tjänster för samhället har identifierats och dokumenterats.</t>
  </si>
  <si>
    <t>System (IT och OT) som behövs för att tillhandahålla kritiska tjänster för samhället har identifierats och dokumenterats.</t>
  </si>
  <si>
    <t>Utrustning och lokaler som behövs för att tillhandahålla kritiska tjänster för samhället har identifierats och dokumenterats.</t>
  </si>
  <si>
    <t>Leveranskedjor som behövs för att tillhandahålla kritiska tjänster för samhället har identifierats och dokumenterats.</t>
  </si>
  <si>
    <t>Det har fastställts en tidsfrist efter vilken den normala verksamheten i samhället påverkas betydligt, om de resurser (information, processer, system, rum, leveranskedja) som kritiska tjänster behöver inte är tillgängliga.</t>
  </si>
  <si>
    <t>Kedjeeffekter för samhället av att kritiska tjänster har försvagats eller avbrutits har identifierats och dokumenterats.</t>
  </si>
  <si>
    <t>Hantera kritiska tjänster</t>
  </si>
  <si>
    <t>Högsta ledningen ska säkerställa tillräckliga resurser för tillhandahållande av kritiska tjänster, och ansvar för beslut ska ha fastställts på behörigt och effektivt sätt. Riskerna mot nät och informationssystem som behövs för att tillhandahålla kritiska tjänster ska utvärderas som en del av bedömningen av riskerna mot hela organisationen.</t>
  </si>
  <si>
    <t>Alla resurser (information, processer, system, rum, leveranskedjor) som behövs för att tillhandahålla samhälleligt kritiska tjänster omfattas av organisationens policyer och processer för säkerhetshantering.</t>
  </si>
  <si>
    <t>Alla resurser (information, processer, system, rum, leveranskedjor) som behövs för att tillhandahålla samhälleligt kritiska tjänster omfattas av organisationens policyer och processer för riskhantering.</t>
  </si>
  <si>
    <t>Ledningsgruppen äger organisationens riktlinjer och policy för säkerhet i nät och informationssystem som stöder tillhandahållandet av tjänster som är avgörande för samhället. Beslutsfattare inom riskhanteringen i hela organisationen hålls uppdaterade om dem på ett lämpligt sätt.</t>
  </si>
  <si>
    <t>Ledningsgruppen behandlar säkerhetsnivån i informationsnätet och IT-systemen för tillhandahållande av kritiska tjänster för samhället utgående från uppdaterad och detaljerad information och handledning som ges av experter.</t>
  </si>
  <si>
    <t>En utsedd medlem i ledningsgruppen ansvarar för säkerhetsnivån i informationsnätet och IT-systemen för tillhandahållande av kritiska tjänster för samhället, och leder regelbundna diskussioner om ämnet i styrelsen.</t>
  </si>
  <si>
    <t>Den vision som ledningsgruppen har fastställt omvandlas till effektiva organisatoriska rutiner som styr och övervakar informationsnätet och IT-systemen för tillhandahållande av kritiska tjänster för samhället.</t>
  </si>
  <si>
    <t>Högsta ledningen har insyn i de viktigaste riskbesluten inom hela organisationen.</t>
  </si>
  <si>
    <t>De som fattar riskbeslut förstår sitt ansvar för att fatta effektiva och snabba beslut om kritiska system i enlighet med den riskaptit som ledningen i organisationen har fastställt.</t>
  </si>
  <si>
    <t>Beslutsfattandet i riskhanteringen delegeras och eskaleras vid behov i hela organisationen till personer som har sådana kunskaper, färdigheter, verktyg och behörigheter som de behöver.</t>
  </si>
  <si>
    <t>Riskbesluten granskas med jämna mellanrum i syfte att säkra att de fortfarande är betydelsefulla och giltiga.</t>
  </si>
  <si>
    <t>Resurser (information, processer, system, utrustning, leveranskedjor), en kritisk tidsperiod och kedjeeffekter beaktas i riskhanteringsprocessen och riskbesluten.</t>
  </si>
  <si>
    <t>Minimera cybersäkerhetsincidenters verkningar på kritiska tjänster</t>
  </si>
  <si>
    <t>Organisationen ska ha en väl uppgjord och testad process för hantering av cybersäkerhetshändelser och cybersäkerhetsincidenter, och huvudsyftet med processen ska vara att säkra kontinuiteten i de kritiska tjänsterna, om det uppstår fel i ett system eller en tjänst. Åtgärder för att begränsa eller minska verkningar ska ha införts och är skalbara enligt totalrisken och totalverkningen.</t>
  </si>
  <si>
    <t>Planen för hantering av cybersäkerhetshändelser och cybersäkerhetsincidenter omfattar alla kritiska system.</t>
  </si>
  <si>
    <t>Planen för hantering av cybersäkerhetshändelser och cybersäkerhetsincidenter omfattar scenarier som endast gäller kända och välförstådda angrepp.</t>
  </si>
  <si>
    <t>Personer som deltar i genomförandet av planen för hantering av cybersäkerhetshändelser och cybersäkerhetsincidenter förstår det bra.</t>
  </si>
  <si>
    <t>Planen har dokumenterats och delats ut till alla relevanta berörda parter.</t>
  </si>
  <si>
    <t xml:space="preserve">Planen bygger på en klar förståelse av risker mot nät och informationssystem som behövs för att tillhandahålla kritiska tjänster. </t>
  </si>
  <si>
    <t>Planen är omfattande (omfattar t.ex. alla faser av en avvikelses livscykel, roller, ansvarsområden, rapportering) och innehåller en beskrivning av sannolika verkningar av kända angreppsmetoder och av potentiella angreppsmetoder som ännu inte har förverkligats.</t>
  </si>
  <si>
    <t>Planen har dokumenterats och integrerats i mer omfattande processer för hantering av organisationens affärsverksamhet och leveranskedja.</t>
  </si>
  <si>
    <t>Affärsenheter som tillhandahåller kritiska tjänster har tagit emot och förstår planen.</t>
  </si>
  <si>
    <t>Svar</t>
  </si>
  <si>
    <t>Noter och referenser</t>
  </si>
  <si>
    <t>Nivå</t>
  </si>
  <si>
    <t>Praktik</t>
  </si>
  <si>
    <t>Säkerhetsklassificering</t>
  </si>
  <si>
    <t>Total nivå</t>
  </si>
  <si>
    <t>Nivån på investeringar i cybersäkerhet (fliken Investment)</t>
  </si>
  <si>
    <t>Nivån på investeringar i cybersäkerhet</t>
  </si>
  <si>
    <t>Välj fem av de största investeringarna i cybersäkerhet. Granskningsperioden för investeringarna är de senaste 24 månaderna och beloppen anges i tusen euro (x 1 000 euro). Av investeringar och kostnader inkluderas endast de vars huvudsakliga syfte har varit utveckling och underhåll av cybersäkerhet.
I tabellens kolumn ”Planerad” samla uppgifter om planerade utgifter under de kommande 12 månaderna. Om beloppen ännu inte är kända räcker det att kryssa för den kategori som utgifterna gäller.</t>
  </si>
  <si>
    <t>Kategori</t>
  </si>
  <si>
    <t>Personal (intern)</t>
  </si>
  <si>
    <t>Konsultverksamhet</t>
  </si>
  <si>
    <t>Tjänster</t>
  </si>
  <si>
    <t>Programvarulicenser</t>
  </si>
  <si>
    <t>Invest. i hårdvara</t>
  </si>
  <si>
    <t>Planerad</t>
  </si>
  <si>
    <t>Funktion</t>
  </si>
  <si>
    <t>Processer</t>
  </si>
  <si>
    <t>System</t>
  </si>
  <si>
    <t>Effekter på andra organisationer</t>
  </si>
  <si>
    <t>Leverantörer</t>
  </si>
  <si>
    <t>Interna beroenden</t>
  </si>
  <si>
    <t>Datum</t>
  </si>
  <si>
    <t>Deltagare</t>
  </si>
  <si>
    <t>Kommentarer</t>
  </si>
  <si>
    <t>Intern referens</t>
  </si>
  <si>
    <t>Extern referens</t>
  </si>
  <si>
    <t>Utvecklingsobjekt</t>
  </si>
  <si>
    <t>FÖREGÅENDE BEDÖMNING</t>
  </si>
  <si>
    <t>Tidigare bedömningsresultat (i bedömningsfliken)</t>
  </si>
  <si>
    <t>Tidigare bedömningsresultat (i rapporterna)</t>
  </si>
  <si>
    <t>Jämförelseresultat (i rapporterna)</t>
  </si>
  <si>
    <t>Exporterar resultat</t>
  </si>
  <si>
    <t>De jämförelseuppgifter som skrivits in i denna tabell visas i rapporterna.</t>
  </si>
  <si>
    <t>Snabbguide för export av resultat (Microsof Office Excel 2016)</t>
  </si>
  <si>
    <t>1) Visa fliken Utvecklare
- Gå till alternativ&gt; Anpassa menyfliksområdetpå fliken Arkiv.
- Under Anpassa menyflik och under Huvudflikar väljer du kryssrutan Utvecklare.
2) Exportera XML-data
- Klicka på Utvecklare &gt; Exportera.
- Spara .xml-filen med namnet du väjer.</t>
  </si>
  <si>
    <t>Rapport om Cybermätarens mognad (R2)</t>
  </si>
  <si>
    <t>Ledningens rapport om mognad (R1)</t>
  </si>
  <si>
    <t>I enlighet med avsnitten för cybersäkerheten</t>
  </si>
  <si>
    <t>Detaljerad NIST Cybersecurity Framework Core-rapport</t>
  </si>
  <si>
    <t>Baserad på en riktgivande korskoppling mellan C2M2 och NIST</t>
  </si>
  <si>
    <t>Cybersäkerhetens mognadsgrad</t>
  </si>
  <si>
    <t>Åtgärder som kärvs på mognadsnivå 1</t>
  </si>
  <si>
    <t>Utvecklingsområden för cybersäkerheten</t>
  </si>
  <si>
    <t>Gemensamma hanteringsåtgärder</t>
  </si>
  <si>
    <t>Ämnesområdesspecifik mognadsrapport</t>
  </si>
  <si>
    <t>Import av bedömningsresultat och jämförelseinformation</t>
  </si>
  <si>
    <t>Export av bedömningsresultat</t>
  </si>
  <si>
    <t>De resultat som matas in här visas i Cybermätarens bedömningsavsnitt intill de nuvarande bedömningarna (i kolumnerna O-S).</t>
  </si>
  <si>
    <t>Verktyg för bedömning av cybersäkerhet</t>
  </si>
  <si>
    <t>Namn</t>
  </si>
  <si>
    <t>Bransch</t>
  </si>
  <si>
    <t xml:space="preserve">Handledare </t>
  </si>
  <si>
    <t>Beskrivning av funktionen som ska utvärderas</t>
  </si>
  <si>
    <t>Funktionens effekter för samhället</t>
  </si>
  <si>
    <t>Startdatum</t>
  </si>
  <si>
    <t>Senast ändring</t>
  </si>
  <si>
    <t>Bedömning av cybersäkerhet</t>
  </si>
  <si>
    <t>Avsnitten för cybersäkerheten</t>
  </si>
  <si>
    <t>Resultat och referensdata</t>
  </si>
  <si>
    <t>Polärdiagram (R4)</t>
  </si>
  <si>
    <t>Rapport över allmänna administrativa åtgärder (R5)</t>
  </si>
  <si>
    <t>Beskrivning av hotscenario (worst-case)</t>
  </si>
  <si>
    <t>Scenariots samhälleliga effekter</t>
  </si>
  <si>
    <t>Den funktion som är föremål för bedömning (mer omfattande anvisningar finns i bruksanvisningen för Cybermätaren)
Det rekommenderas att bedömningen riktas mot funktioner som organisationen behöver för att producera tjänster som är kritiska för samhället eller för organisationens egen (affärs)verksamhet. Cybermätaren är i första hand avsedd för organisationer som är försörjningsberedskapskritiska med tanke på samhällets funktion, men modellen passar lika bra för andra typer av organisationer. Då väljer man för granskning exempelvis de funktioner som är kritiska för organisationens egen affärsverksamhet och deras viktigaste beroenden med tanke på driftssäkerheten. Om man vill granska flera delområden inom verksamheten på en gång rekommenderas att man gör separata bedömningar för vart och ett.
Avgränsningen kan göras på många sätt, exempelvis:
 * Så att den omfattar hela organisationen, exempelvis i små och medelstora företag;
 * enligt organisationsstrukturen, exempelvis för en lands- eller affärsverksamhetsenhet;
 * Enligt funktion, exempelvis för tjänster som produceras över organisationsgränser.  
Utöver kritiska tjänster och funktioner ska man för att fastställa objektet för bedömningen identifiera dessas viktigaste beroenden med tanke på driftssäkerheten. Sådana är i regel alla av följande kategorier som anknyter till produktionen av kritiska tjänster:
 * Affärsverksamhetsprocesser och operativa processer;
 * System och delsystem, samt
 * Informationsresurser
En tjänst är samhällskritisk om en störning i den påverkar ett betydande antal kunder eller ett stort geografiskt område, eller om en störning i tjänsten har allvarliga följder. När man definierar hur kritisk en tjänst är kan man exempelvis ta hjälp av Försörjningsberedskapscentralens branschdefinitioner. I identifieringen av tjänster som är kritiska för affärsverksamheten kan man utgå från exempelvis organisationens mål eller affärsverksamhetsstrategins fokusområden.</t>
  </si>
  <si>
    <t>Nästa bedömning</t>
  </si>
  <si>
    <t>Observera</t>
  </si>
  <si>
    <t>Organisationen har en mycket begränsad kapacitet att upptäcka cybersäkerhetsstörningar när dessa uppstår. Det innebär vanligen att de avvärjande åtgärderna fördröjs avsevärt och inte vidtas förrän en betydande informationsläcka eller skada har inträffat. Den effekt som angriparen vill orsaka realiseras vanligen fullständigt.</t>
  </si>
  <si>
    <t>Organisationen har en baskapacitet att samla in information, men kapaciteten att upptäcka cybersäkerhetsincidenter är delvis bristfällig på grund av informationens art och omfattning samt brister i analyskapaciteten. Det innebär vanligen att de avvärjande åtgärderna fördröjs och att besluten inte bygger på en samlad förståelse av händelsen och att organisationen därför, trots genomförda åtgärder, är sårbar vid betydande informationsläckor eller skador.</t>
  </si>
  <si>
    <t>Organisationen har en god kapacitet att samla in och analysera information för att i tid kunna identifiera cybersäkerhetsstörningar och för att kunna hålla lägesbilden tillräckligt uppdaterad. Det innebär vanligen att det finns god sannolikhet för att avvärjande åtgärder vidtas när en störning pågår och att åtgärderna har dimensionerats på rätt sätt. På så sätt kan organisationen begränsa skador även om dessa inte kan förhindras fullständigt.</t>
  </si>
  <si>
    <t>Organisationen har en utomordentlig kapacitet att samla in, korrelera och analysera information som är relevant med tanke på störningar. Det innebär vanligen att cybersäkerhetsstörningar upptäcks i tid och att störningarna därför kan åtgärdas fort. Till följd av detta har organisationen goda möjligheter att begränsa eller till och med förhindra skador samtidigt som ett angrepp inträffar.</t>
  </si>
  <si>
    <t>Identifiera</t>
  </si>
  <si>
    <t>Organisationen har en mycket begränsad kapacitet att identifiera och hantera cybersäkerhetsrisker mot system, personal, skyddade objekt, information och kritiska tjänster. Detta leder vanligen till en ineffektiv fördelning av resurser och investeringar samt ett misslyckat skydd av sådana kritiska tjänster som organisationen eller externa parter är beroende av. Det finns hög sannolikhet för oväntade cybersäkerhetsstörningar som påverkar organisationens kärnprocesser avsevärt.</t>
  </si>
  <si>
    <t>Organisationen har en baskapacitet att identifiera och hantera cybersäkerhetsrisker mot system, personal, skyddade objekt, information och kritiska tjänster. Processen är dock inte nödvändigtvis systematisk och beaktar inte heller hela affärskontexten och organisationen som en del av samhället. Detta kan i sin tur leda till brister i identifieringen och hanteringen av betydande risker. Det innebär vanligen att åtminstone en del av resurserna inte används på ett optimalt sätt och att de åtgärder som ska vidtas inte nödvändigtvis riktas till de mest betydande cybersäkerhetsriskerna.</t>
  </si>
  <si>
    <t>Organisationen har en god kapacitet att identifiera och hantera cybersäkerhetsrisker mot system, personal, skyddade objekt, information och kritiska tjänster, men har även några svaga delområden. Det innebär vanligen att vissa cybersäkerhetsrisker inte har hanterats och att detta försämrar organisationens allmänna kapacitet att återställa verksamheten.</t>
  </si>
  <si>
    <t>Organisationen har en utomordentlig kapacitet att identifiera och hantera cybersäkerhetsrisker mot system, personal, skyddade objekt, information och kritiska tjänster. Det innebär vanligen att resurserna och de åtgärder som ska vidtas är fördelade på ett optimalt sätt utifrån allvarlighetsgraden och riskerna. Det är osannolikt att organisationen drabbas av cybersäkerhetsstörningar som inte tidigare har identifierats.</t>
  </si>
  <si>
    <t>Skydda</t>
  </si>
  <si>
    <t>Organisationen har en mycket begränsad kapacitet att skydda sina kritiska tjänster mot cybersäkerhetshot och cybersäkerhetsstörningar. Det innebär vanligen att organisationen drabbas av ett stort antal störningar och/eller att deras verkningar är betydligt större än vad som är nödvändigt och att störningarna medför onödigt stora kostnader, interna/externa verkningar och verkningar på organisationens anseende. Detta betonas i ännu större utsträckning, om identifieringskapaciteten är låg.</t>
  </si>
  <si>
    <t>Organisationen har en baskapacitet att skydda sina kritiska tjänster mot cybersäkerhetshot och cybersäkerhetsstörningar, men kapacitetens omfattning är inte systematisk och innehåller flera svaga delområden. Det innebär vanligen att skyddsåtgärderna inte nödvändigtvis har riktats eller dimensionerats utifrån hur kritiska tjänsterna och informationen är. Detta leder å ena sidan till en bristfällig fördelning av resurser och investeringar, å andra sidan till brister i skyddet av kritiska tjänster.</t>
  </si>
  <si>
    <t>Organisationen har en god kapacitet att skydda sina kritiska tjänster mot cybersäkerhetshot och cybersäkerhetsstörningar, men har vissa svaga delområden. Det innebär vanligen gråa områden eller brister i skyddet, även om alla kritiska tjänster och data är skyddade. Detta kan leda till onödigt stora kostnader och ett onödigt stort antal störningar.</t>
  </si>
  <si>
    <t>Organisationen har en utomordentlig kapacitet att skydda sina kritiska tjänster mot cybersäkerhetshot och cybersäkerhetsstörningar på alla viktiga affärsområden. Det innebär vanligen att det sker färre störningar i organisationen och störningarnas interna och externa verkningar är mindre och att kostnaderna och verkningarna på organisationens anseende på så sätt är mindre.</t>
  </si>
  <si>
    <t>Återställ</t>
  </si>
  <si>
    <t>Organisationen har en mycket begränsad kapacitet att vidta och genomföra nödvändiga åtgärder för att återställa verksamheten efter cyberangrepp. Det innebär vanligen att återställningen pågår under lång tid och att kostnaderna, störningarnas verkningar och skadorna på organisationens anseende därför kan öka avsevärt.</t>
  </si>
  <si>
    <t>Organisationen har en baskapacitet att vidta och genomföra nödvändiga åtgärder för att återställa verksamheten efter cyberangrepp. Det innebär vanligen att återställandet inte nödvändigtvis omfattar alla affärsområden, de återställande åtgärderna inte genomförs i optimal ordning eller återställandet inte sker så fort som det krävs med tanke på affärsverksamheten. Detta kan leda till sådana skador på anseendet, ökade kostnader eller ökade verkningar av störningar som annars skulle ha kunnat förebyggas.</t>
  </si>
  <si>
    <t>Organisationen har en god kapacitet att vidta och genomföra nödvändiga åtgärder för att återställa verksamheten efter cyberangrepp. Det innebär vanligen att organisationen i de flesta situationer kan hålla kostnaderna, störningens verkningar och skadan på anseendet på en godtagbar nivå.</t>
  </si>
  <si>
    <t>Organisationen har en utomordentlig kapacitet att vidta och genomföra nödvändiga åtgärder för att återställa verksamheten efter cyberangrepp. Det innebär vanligen att de återställande åtgärderna kan genomföras inom förutspådd tid och i optimal ordning. I vissa situationer är det på så sätt möjligt att minska kostnaderna, skadorna på anseendet och andra verkningar på grund av störningar.</t>
  </si>
  <si>
    <t>Åtgärda</t>
  </si>
  <si>
    <t>Organisationen har en mycket begränsad kapacitet att vidta rättidiga och samordnade åtgärder för att avvärja cyberangrepp. Det innebär vanligen att det är sannolikt att ett angrepp och skador fortfarande inte kan förhindras eller begränsas, även om angreppet  har identifierats i tid.</t>
  </si>
  <si>
    <t>Organisationen har en baskapacitet att vidta rättidiga åtgärder för att avvärja cyberangrepp, men att processen inte nödvändigtvis har samordnats eller testats särskilt bra. Det innebär vanligen att det är sannolikt att avvärjande åtgärder fortfarande inte förhindrar och begränsar ett angrepp och skador till följd av angreppet även om angreppet har identifierats i tid.</t>
  </si>
  <si>
    <t>Organisationen har en god kapacitet att vidta rättidiga och samordnade åtgärder för att avvärja cyberangrepp. Det innebär vanligen att det är möjligt att ett angrepp och skador till följd av angreppet  kan begränsas till en viss punkt, om angreppet har identifierats i tid.</t>
  </si>
  <si>
    <t>Organisationen har en utomordentlig kapacitet att vidta rättidiga och samordnade åtgärder för att avvärja cyberangrepp. Det innebär vanligen att det är sannolikt att ett angrepp och skador till följd av angreppet kan begränsas eller till och med förhindras, om angreppet har identifierats i tid.</t>
  </si>
  <si>
    <t>Hantering av cybersäkerhet (PROGRAM)</t>
  </si>
  <si>
    <t>Ta fram och underhåll ett sådant program för organisationsövergripande hantering av cybersäkerhet som möjliggör en hanteringsmodell och en strategisk planering och som ger stöd för cybersäkerhetsarbetet i organisationen på ett sätt som fastställer cybersäkerhetsmål i överensstämmelse med organisationens strategiska mål och risker mot den kritiska infrastrukturen.</t>
  </si>
  <si>
    <t>Cybersäkerhetsstrategi</t>
  </si>
  <si>
    <t>Cybersäkerhetsstrategin används som underlag för ett cybersäkerhetsprogram. Cybersäkerhetsstrategin innefattar i sin enklaste form en förteckning över cybersäkerhetsmål och en plan för uppnående av målen. På en högre mognadsnivå är strategin fullständigare och innefattar prioriteringar, en beskrivning av hanteringsmodellen och en organisationsstruktur för cybersäkerhetsprogrammet samt starkare deltagande av högsta ledningen i planeringen av programmet.</t>
  </si>
  <si>
    <t>Organisationen har en cybersäkerhetsstrategi. På nivå 1 behöver utvecklingen eller upprätthållandet av den inte vara systematisk och regelbunden.</t>
  </si>
  <si>
    <t>Cybersäkerhetsstrategin fastställer cybersäkerhetsmål för organisationen.</t>
  </si>
  <si>
    <t>Cybersäkerhetsstrategin och -prioriteringarna har dokumenterats. Strategin och prioriteringarna är i linje med organisationens allmänna strategiska mål och de risker som berör dess kritiska infrastruktur.</t>
  </si>
  <si>
    <t>Cybersäkerhetsstrategin definierar hanteringsmodellen (”governance”) och tillsynsåtgärderna för organisationens cybersäkerhet.</t>
  </si>
  <si>
    <t>Cybersäkerhetsstrategin definierar hanterings- och organisationsstrukturen för cybersäkerheten.</t>
  </si>
  <si>
    <t>Cybersäkerhetsstrategin anger de standarder och anvisningar som ska följas.</t>
  </si>
  <si>
    <t>Cybersäkerhetsstrategin anger till tillämpliga delar alla väsentliga kravenlighetskrav (exempelvis NIST, ISO, PCI DSS), som ska följas.</t>
  </si>
  <si>
    <t>Cybersäkerhetsstrategin uppdateras i enlighet med förändringar i organisationens affärsverksamhet, verksamhetsmiljö eller hotprofil [se THREAT-2d].</t>
  </si>
  <si>
    <t>Ledningens stöd till programmet för hantering av cybersäkerhet</t>
  </si>
  <si>
    <t>Ledningens stöd är viktigt för att programmet för hantering av cybersäkerhet ska kunna implementeras enligt cybersäkerhetsstrategin. På basnivå utgörs stödet av att tillhandahålla tillräckliga resurser (personal, verktyg, finansiering). Ett mer utvecklat stöd omfattar högsta ledningens synliga deltagande, fastställande av ansvarsområden och befogenheter för programmet. Dessutom omfattar stödet ett organisationsövergripande stöd för fastställandet och uppdateringen av policyer eller andra bindande anvisningar för organisationen.</t>
  </si>
  <si>
    <t>Resurser (personal, finansiering och verktyg) har anvisats för inrättandet av hantering av cybersäkerheten. På nivå 1 behöver detta inte vara systematiskt och regelbundet.</t>
  </si>
  <si>
    <t>Organisationens högsta ledning stöder hanteringen av cybersäkerheten. På nivå 1 behöver detta inte vara systematiskt och regelbundet.</t>
  </si>
  <si>
    <t>Hanteringen av cybersäkerheten baserar sig på cybersäkerhetsstrategin.</t>
  </si>
  <si>
    <t>Tillräckliga resurser (personal, finansiering och verktyg) har anvisats för hantering av cybersäkerheten i enlighet med cybersäkerhetsstrategin.</t>
  </si>
  <si>
    <t>Organisationens högsta lednings stöd för hanteringen av cybersäkerheten är synligt och aktivt.</t>
  </si>
  <si>
    <t>Organisationens högsta ledning stöder utvecklingen, upprätthållandet och verkställandet av cybersäkerhetspolicyer och -anvisningar.</t>
  </si>
  <si>
    <t>Ansvaret för hanteringen av cybersäkerheten har tilldelats en aktör inom organisationen som har tillräckliga befogenheter.</t>
  </si>
  <si>
    <t>De berörda parterna i hanteringen av cybersäkerheten har identifierats och involverats.</t>
  </si>
  <si>
    <t>Verksamheten inom hanteringen av cybersäkerheten ses över då och då för att säkerställa att åtgärderna är i linje med cybersäkerhetsstrategin.</t>
  </si>
  <si>
    <t>En oberoende aktör granskar de funktioner som anknyter till organisationens cybersäkerhet då och då samt i samband med specifika situationer och processförändringar, för att säkerställa att verksamheten överensstämmer med cybersäkerhetspolicyerna och -anvisningarna.</t>
  </si>
  <si>
    <t>I hanteringen av cybersäkerheten beaktar man kraven enligt regelverken och skapar till tillämpliga delar förutsättningar för uppnående av dem.</t>
  </si>
  <si>
    <t>Organisationen samarbetar med aktörer utanför organisationen för att delta i utvecklingen och verkställandet av standarder, anvisningar, ledande praxis, erfarenheter och ny teknologi som anknyter till cybersäkerhet.</t>
  </si>
  <si>
    <t>För verksamheten inom ämnesområdet PROGRAM har man fastställt dokumenterade rutiner, som följs och uppdateras regelbundet.</t>
  </si>
  <si>
    <t>Det finns tillräckligt med resurser för verksamheten inom ämnesområdet PROGRAM (personal, finansiering och verktyg).</t>
  </si>
  <si>
    <t>Verksamheten inom ämnesområdet PROGRAM styrs genom krav som ställts upp i policyn på organisationens ledningsnivå (eller i motsvarande anvisningar).</t>
  </si>
  <si>
    <t>De arbetstagare som utför verksamheten inom ämnesområdet PROGRAM har tillräckliga kunskaper och färdigheter för sina uppgifter.</t>
  </si>
  <si>
    <t>De ansvar, kontoskyldigheter och behörigheter som krävs för verksamheten inom ämnesområdet PROGRAM har delats ut till lämpliga arbetstagare.</t>
  </si>
  <si>
    <t>Effektiviteten hos verksamheten inom ämnesområdet PROGRAM utvärderas och följs upp.</t>
  </si>
  <si>
    <t>Hantering av händelser och störningar, verksamhetens kontinuitet (RESPONSE)</t>
  </si>
  <si>
    <t>Inför och uppdatera planer, processer och tekniker så att händelser och incidenter i cybersäkerheten kan upptäckas, analyseras och avvärjas och verksamheten återställas i förhållande till den kritiska infrastrukturen och riskerna mot organisationens mål.</t>
  </si>
  <si>
    <t>Observation av händelser</t>
  </si>
  <si>
    <t>Observation av cybersäkerhetshändelser omfattar en central kanal för rapportering av händelser samt fastställande av bedömningskriterier. Bedömningskriterierna ska ligga i linje med strategin för hantering av cybersäkerhetsrisker så att de säkrar en konsekvent bedömning och erbjuder en struktur för identifiering av cybersäkerhetshändelser, när en cybersäkerhetshändelse ska eskaleras och när händelsen deklareras som en cybersäkerhetsincident.</t>
  </si>
  <si>
    <t>Upptäckta cybersäkerhetshändelser rapporteras till personer eller rollinnehavare som fastställts på förhand och man för logg över dem. På nivå 1 behöver detta inte vara systematiskt och regelbundet.</t>
  </si>
  <si>
    <t>Kriterier har utarbetats för cyberhändelser och observation av dem (som omfattar exempelvis en definition av situationer som uppfyller definitionen av en cybersäkerhetshändelse eller en definition av var cybersäkerhetshändelser kan observeras).</t>
  </si>
  <si>
    <t>Cybersäkerhetshändelser loggas i enlighet med de utarbetade kriterierna.</t>
  </si>
  <si>
    <t>Information om olika händelser jämförs med varandra för att upptäcka eventuella regelbundenheter, trender eller andra gemensamma drag, som kan stödja arbetet med analys av cyberstörningar.</t>
  </si>
  <si>
    <t>Åtgärderna för observation av cyberhändelser styrs utifrån identifierade risker [se RISK-2a] och organisationens hotprofil [se THREAT-2d].</t>
  </si>
  <si>
    <t>Funktionens lägesbild följs upp så att den stöder observationen av eventuella cyberhändelser.</t>
  </si>
  <si>
    <t>Analys av händelser och definition av störningssituationer</t>
  </si>
  <si>
    <t>Eskalering av en cybersäkerhetshändelse inkluderar tillämpning av de bedömningsgrunder som nämns under ”Observation av händelser” och identifiering av situationer där en cybersäkerhetshändelse ska hanteras enligt på förhand fastställda planer. Eskalerade cybersäkerhetshändelser och -störningar kan leda till externa skyldigheter såsom exempelvis myndighetsrapportering eller att informera kunder. Korrelationer mellan flera cybersäkerhetshändelser och störningar kan avslöja systematiska problem i miljön.</t>
  </si>
  <si>
    <t>Kriterier har utarbetats för definition av cybersäkerhetsstörningar. På nivå 1 behöver detta inte vara systematiskt och regelbundet.</t>
  </si>
  <si>
    <t>Cybersäkerhetshändelser analyseras så att analysen stöder definitionen av eventuella cybersäkerhetsstörningar. På nivå 1 behöver detta inte vara systematiskt och regelbundet.</t>
  </si>
  <si>
    <t>Offentliga kriterier har utarbetats för definitionen av cybersäkerhetsstörningar. De baserar sig på hur störningarna kan påverka funktionen.</t>
  </si>
  <si>
    <t>Cybersäkerhetshändelser definieras som cybersäkerhetsstörningar enligt de utarbetade kriterierna.</t>
  </si>
  <si>
    <t>Kriterierna för definition av cybersäkerhetsstörningar uppdateras då och då samt i samband med specifika situationer såsom vid organisationsförändringar eller utifrån erfarenheter från övningar eller nya upptäckta hot.</t>
  </si>
  <si>
    <t>Man för ett register över cybersäkerhetshändelser och -störningar, där händelser och störningar registreras och följs upp tills de är över.</t>
  </si>
  <si>
    <t>Berörda parter som är viktiga för cybersäkerheten (exempelvis serviceleverantörer, myndigheter, övriga organisationer inom branschen, ISAC-grupper eller organisationens övriga interna och externa berörda parter) har identifierats och informeras om cybersäkerhetshändelser och -störningar i enlighet med de rapporteringskrav som fastställs i ämnesområdet lägesbild [se SITUATION-3d].</t>
  </si>
  <si>
    <t>Kriterierna för definiering av cybersäkerhetsstörningar är i linje med kriterierna för prioritering av cybersäkerhetsrisker [se  RISK-3b].</t>
  </si>
  <si>
    <t>Information om olika cybersäkerhetsstörningar jämförs för att identifiera eventuella regelbundenheter, trender eller andra gemensamma drag.</t>
  </si>
  <si>
    <t>Reaktion på händelser och störningar</t>
  </si>
  <si>
    <t xml:space="preserve">För att cybersäkerhetsincidenter ska kunna åtgärdas ska organisationen ha en process för begränsning av cybersäkerhetsincidenternas verkningar på andra funktioner. Processen bör beskriva på vilket sätt organisationen hanterar alla faser i en incidents livscykel (t.ex. triage, behandling, kommunikation, samordning och avslutande). En granskning av erhållna erfarenheter hjälper, som en del av åtgärdandet av cybersäkerhetshändelser och cybersäkerhetsincidenter, organisationen att eliminera sårbarheter som ledde till incidenten. </t>
  </si>
  <si>
    <t>Man har identifierat lämpliga arbetstagare för att reagera på cybersäkerhetshändelser och -störningar samt tilldelat dem roller. På nivå 1 behöver detta inte vara systematiskt och regelbundet.</t>
  </si>
  <si>
    <t>Man reagerar på cybersäkerhetshändelser och -störningar så att man begränsar effekten på funktionen och återställer verksamheten till det normala. På nivå 1 behöver detta inte vara systematiskt och regelbundet.</t>
  </si>
  <si>
    <t>Cybersäkerhetsstörningar rapporteras (exempelvis internt, till CERT-FI eller till lämpliga ISAC-grupper). På nivå 1 behöver detta inte vara systematiskt och regelbundet.</t>
  </si>
  <si>
    <t>Man har utarbetat en plan på hur man reagerar på cyberstörningar. Planen ska vara uppdaterad och täcka hela livscykeln för störningshanteringen.</t>
  </si>
  <si>
    <t>Reaktionerna på cybersäkerhetshändelser och -störningar följer fastställda planer och processer.</t>
  </si>
  <si>
    <t>Man övar på planen för reaktion på cybersäkerhetsstörningar och -händelser då och då samt i specifika situationer såsom i samband med systemförändringar eller externa händelser.</t>
  </si>
  <si>
    <t>Man tar lärdom av de åtgärder som utförts på grund av cybersäkerhetshändelser och -störningar och utför korrigerande åtgärder (inklusive att uppdatera beredskapsplanerna).</t>
  </si>
  <si>
    <t>De bakomliggande orsakerna till cybersäkerhetshändelser och -störningar analyseras och man utför korrigerande åtgärder (inklusive att uppdatera beredskapsplanerna).</t>
  </si>
  <si>
    <t>Reaktionerna på cybersäkerhetshändelser och -störningar samordnas till tillämpliga delar med leverantörer, myndigheter och andra utomstående aktörer. Hit hör insamling och förvaring av bevismaterial.</t>
  </si>
  <si>
    <t>Team som deltar i behandlingen av händelser och incidenter i cybersäkerheten deltar i gemensamma övningar med andra organisationer (t.ex. skrivbordsövningar, simulationer)</t>
  </si>
  <si>
    <t>I reaktionen på cybersäkerhetshändelser och -störningar följer man driftlägen som definierats på förhand [se SITUATION-3h].</t>
  </si>
  <si>
    <t>Cybersäkerhet som en del av verksamhetens kontinuitet</t>
  </si>
  <si>
    <t>Genom de allmänna administrativa åtgärderna bedömer man hur grundligt ämnesområdets cybersäkerhetsrutiner har etablerats som en del av organisationens verksamhet. Ju grundligare rutinerna har etablerats som en del av organisationens dagliga aktiviteter, desto mer sannolikt är det att organisationen följer dem även i en krissituation och efter en längre tid. Med andra ord förblir verksamheten regelbunden, upprepbar och högklassig.</t>
  </si>
  <si>
    <t>Organisationen har utvecklat planer för verksamhetens kontinuitet, med vars hjälp verksamheten inom funktionen kan bevaras och återställas om verksamheten blir föremål för en cybersäkerhetshändelse eller -störning. På nivå 1 behöver detta inte vara systematiskt och regelbundet.</t>
  </si>
  <si>
    <t>Det finns säkerhetskopior av informationen, som testas. På nivå 1 behöver detta inte vara systematiskt och regelbundet.</t>
  </si>
  <si>
    <t>IT-apparater (och eventuella OT-apparater) som behöver reservdelar har identifierats. På nivå 1 behöver detta inte vara systematiskt och regelbundet.</t>
  </si>
  <si>
    <t>I utvecklingen av kontinuitetsplanerna beaktas bedömningen av eventuella cybersäkerhetshändelsers effekter.</t>
  </si>
  <si>
    <t>I kontinuitetsplanerna identifieras och dokumenteras de anordningar, programvaror och datalager samt funktioner som minst krävs för att upprätthålla verksamheten inom funktionen.</t>
  </si>
  <si>
    <t>Kontinuitetsplanerna berör de apparater, programvaror och informationsresurser som är viktiga för funktionen. Inklusive tillgång till säkerhetskopior samt ersättande och certifierade apparater och program samt reservapparater och -program. (Beakta även eventuella OT-apparater, -programvaror och -informationsresurser.)</t>
  </si>
  <si>
    <t>Kontinuitetsplanerna testas genom bedömningar och/eller övningar då och då samt i specifika situationer såsom i samband med systemförändringar eller externa händelser.</t>
  </si>
  <si>
    <t>Säkerhetskopior skyddas med mekanismer som är minst lika bra som de mekanismer som skyddar den ursprungliga informationsresursen.</t>
  </si>
  <si>
    <t>Säkerhetskopiorna är logiskt eller fysiskt åtskilda från den ursprungliga informationsresursen.</t>
  </si>
  <si>
    <t>Reservdelar finns tillgängliga för de IT-apparater (och eventuella OT-apparater) som behöver sådana.</t>
  </si>
  <si>
    <t>Till kontinuitetsplanerna hör fastställande av en återhämtningstid (”RTO, Recovery Time Objective”) och en återhämtningspunkt (”Recovery Point Objective, RPO”) för apparater, programvaror och informationsresurser som är viktiga för funktionen [se ASSET-1a, ASSET-2a].</t>
  </si>
  <si>
    <t>Kriterier för ibruktagande av kontinuitetsplan i en situation med en cybersäkerhetsstörning har definierats och kommunicerats till de arbetstagare som ansvarar för hanteringen av störningar och för beredskapsplanerna.</t>
  </si>
  <si>
    <t>Kontinuitetsplanerna är i linje med de identifierade riskerna [se RISK-2a] och organisationens hotprofil [se THREAT-2d], så att man beaktar de identifierade riskkategorierna och hoten.</t>
  </si>
  <si>
    <t>I kontinuitetsövningar behandlas högprioriterade risker [se RISK-3a].</t>
  </si>
  <si>
    <t>Observationer från testningen av kontinuitetsplanen och från verkliga situationer jämförs med de uppställda återhämtningsmålen, och planerna utvecklas utifrån dessa observationer.</t>
  </si>
  <si>
    <t>Det innehåll i kontinuitetsplanerna som berör cybersäkerhetsstörningar granskas och uppdateras då och då.</t>
  </si>
  <si>
    <t>Kontinuitetsplanerna granskas och uppdateras då och då.</t>
  </si>
  <si>
    <t>För verksamheten inom ämnesområdet RESPONSE har man fastställt dokumenterade rutiner, som följs och uppdateras regelbundet.</t>
  </si>
  <si>
    <t>Det finns tillräckligt med resurser för verksamheten inom ämnesområdet RESPONSE (personal, finansiering och verktyg).</t>
  </si>
  <si>
    <t>Verksamheten inom ämnesområdet RESPONSE styrs genom krav som ställts upp i policyn på organisationens ledningsnivå (eller i motsvarande anvisningar).</t>
  </si>
  <si>
    <t>De arbetstagare som utför verksamheten inom ämnesområdet RESPONSE har tillräckliga kunskaper och färdigheter för sina uppgifter.</t>
  </si>
  <si>
    <t>De ansvar, kontoskyldigheter och behörigheter som krävs för verksamheten inom ämnesområdet RESPONSE har delats ut till lämpliga arbetstagare.</t>
  </si>
  <si>
    <t>Effektiviteten hos verksamheten inom ämnesområdet RESPONSE utvärderas och följs upp.</t>
  </si>
  <si>
    <t>Riskhantering (RISK)</t>
  </si>
  <si>
    <t>Ta fram, använd och underhåll ett system för organisationsövergripande riskhantering så att det är möjligt att identifiera, analysera och minska cybersäkerhetsriskerna i organisationen (inbegripet affärsenheter, dotterföretag, integrerade infrastrukturer och andra berörda parter).</t>
  </si>
  <si>
    <t>Plan för hantering av cybersäkerhetsrisker</t>
  </si>
  <si>
    <t>Till hanteringen av cybersäkerhetsrisker hör identifiering och bedömning av riskerna, behandling (exempelvis genom att godkänna, undvika, minska eller överföra risken) och uppföljning så att den är i linje med organisationens behov. Det centrala för dessa åtgärder är en gemensam förståelse för cybersäkerhetsrisker och en plan för att hantera dem. I vissa organisationer beskrivs detta genom en separat strategi för hantering av cybersäkerhetsrisker. Strategin för hantering av cybersäkerhetsrisker är en strategi på organisationens högsta nivå, som definierar organisationens villighet att ta risker och ställer upp en riktning för bedömningen av cybersäkerhetsrisker och prioriteringen av hanteringsåtgärder. Strategin för hantering av cybersäkerhetsrisker omfattar bland annat metoder för bedömning av cybersäkerhetsrisker, övervakning av riskerna enligt strategin och definition av organisationens modell för hantering av cybersäkerheten (”cybersecurity governance”). En viktig del av strategin är att definiera bedömningskriterier för riskerna på organisationsnivå (exempelvis riskgränser, tillgängliga riskhanteringsåtgärder), som styr hela organisationens cybersäkerhetsprogram [se PROGRAM]. Strategin för hantering av cybersäkerhetsrisker ska vara i linje med organisationens allmänna riskhanteringsstrategi, så att man kan säkerställa att cybersäkerhetsrisker hanteras som en del av organisationens målsättningar i ett större perspektiv.</t>
  </si>
  <si>
    <t>Organisationens hantering av cybersäkerhetsrisker styrs av en plan (exempelvis en strategi eller motsvarande policy på ledningsnivån). På nivå 1 behöver utvecklingen eller upprätthållandet av den inte vara systematisk och regelbunden.</t>
  </si>
  <si>
    <t>Organisationens hantering av cybersäkerhetsrisker styrs av en systematisk plan, som uppdateras regelbundet och som stöder organisationens mer omfattande plan för utveckling av cybersäkerheten [se PROGRAM-1b] och organisationens företagsarkitektur (även ”helhetsarkitektur).</t>
  </si>
  <si>
    <t>Information om åtgärderna inom hanteringen av cybersäkerhetsrisker delas till lämpliga berörda parter.</t>
  </si>
  <si>
    <t>För hanteringen av cybersäkerhetsrisker har man fastställt en administrationsmodell (ref. ”governance”), som uppdateras regelbundet. Till administrationsmodellen hör bland annat ansvar, skyldigheter och beslutsstrukturer för riskhanteringen.</t>
  </si>
  <si>
    <t>För förverkligandet av organisationens åtgärder för hantering av cybersäkerhetsrisker har man definierat en administrationsprocess för cybersäkerhetsrisker, som uppdateras regelbundet och genom vilken man säkerställer att de åtgärder som utförs är i linje med organisationens allmänna uppgifter och mål.</t>
  </si>
  <si>
    <t>Åtgärderna inom processen och planen för hanteringen av cybersäkerhetsrisker styrs av den riskhanteringsprocess och -plan som omfattar hela organisationen.</t>
  </si>
  <si>
    <t>Identifiering av cybersäkerhetsrisker</t>
  </si>
  <si>
    <t>Hanteringen av cybersäkerhetsrisker omfattar identifiering, bedömning, behandling (godkännande, undvikande, minskning eller överföring) och uppföljning. Hanteringen tar hänsyn till behoven i affärsverksamheten och organisationen. En organisationsövergripande förståelse av riskhanteringsstrategin står i centrum för att aktiviteterna ovan ska kunna genomföras. Genom en fastställd riskklassificering kan organisationen behandla och kontrollera risker på ett konsekvent sätt. Ett riskregister, dvs. en förteckning över identifierade risker och information om risker, stöder denna process. 
Andra ämnesområden i självutvärderningen, som SITUATION och RESPONSE, hänvisar till riskregistret och visar hur praxis enligt denna modell fungerar kraftfullare när de är kopplade till hantering av cybersäkerhetsrisker.</t>
  </si>
  <si>
    <t>Cybersäkerhetsrisker identifieras. På nivå 1 behöver detta inte vara systematiskt och regelbundet.</t>
  </si>
  <si>
    <t>De identifierade cybersäkerhetsriskerna delas in i olika kategorier, så att riskerna kan hanteras kategorispecifikt (kategorierna kan vara exempelvis dataläckor, interna fel, ransomware eller kapning av OT-apparater).</t>
  </si>
  <si>
    <t>I identifieringen av cyberrisker använder man flera olika informationskällor och identifieringsmetoder.</t>
  </si>
  <si>
    <t>Representanter för lämpliga enheter inom den operativa verksamheten och affärsverksamheten deltar i identifieringen av cybersäkerhetsrisker.</t>
  </si>
  <si>
    <t>Cybersäkerhetsriskerna och cybersäkerhetsriskkategorierna dokumenteras i ett riskregister (eller i en motsvarande informationsresurs).</t>
  </si>
  <si>
    <t>Ägare har utsetts för cybersäkerhetsriskerna och cybersäkerhetsriskkategorierna.</t>
  </si>
  <si>
    <t>Cybersäkerhetsriskerna identifieras då och då samt i specifika situationer, exempelvis vid systemförändringar eller externa cybersäkerhetshändelser.</t>
  </si>
  <si>
    <t>I identifieringen av cybersäkerhetsrisker använder man ASSET-ämnesområdets register och prioritetsuppgifter för apparater, programvara och informationsresurser.</t>
  </si>
  <si>
    <t>Sårbarhetsinformation från ämnesområdet för hantering av hot [se THREAT] används för att identifiera nya cybersäkerhetsrisker och uppdatera befintliga (exempelvis för att identifiera risker som beror på sårbarheter som upptäckts och/eller som inte åtgärdats).</t>
  </si>
  <si>
    <t>Information om hot från ämnesområdet för hantering av hot [se THREAT] används för att identifiera nya cybersäkerhetsrisker och uppdatera befintliga.</t>
  </si>
  <si>
    <t>Information från åtgärderna i ämnesområdet för riskhantering i partnernätverket [se THIRDPARTY] används för att identifiera nya cybersäkerhetsrisker och uppdatera befintliga.</t>
  </si>
  <si>
    <t>Avvikelser mellan organisationens eftersträvade cyberarkitektur och de förverkligade systemen och nätverken används för att identifiera nya cybersäkerhetsrisker och uppdatera befintliga cybersäkerhetsrisker [se ARCHITECTURE-1h].</t>
  </si>
  <si>
    <t>I identifieringen av cybersäkerhetsrisker beaktas risker som berör kritisk infrastruktur eller organisationer som är beroende av varandra.</t>
  </si>
  <si>
    <t>Riskanalys</t>
  </si>
  <si>
    <t>De identifierade riskerna analyseras så att deras effekter på organisationens verksamhet kan bedömas, så att de kan klassificeras och prioriteras och så att rätt strategi och tillräckliga åtgärder kan fastställas (exempelvis: minska sannolikheten/effekterna, godkänna risken, undvika risken eller dela risken). Hur detaljerad analysen är kan variera beroende på riskens art och den tillgängliga informationens mängd och kvalitet, men metoden som används bör vara enhetlig i hela organisationen.</t>
  </si>
  <si>
    <t>Cybersäkerhetsriskerna prioriteras utifrån vilken effekt de bedöms ha. På nivå 1 behöver detta inte vara systematiskt och regelbundet.</t>
  </si>
  <si>
    <t>De fastställda kriterierna används i prioriteringen av cybersäkerhetsrisker och cybersäkerhetsriskkategorier (exempelvis effekt, sannolikhet, utsatthet, risktolerans).</t>
  </si>
  <si>
    <t>Effekterna av högprioriterade cybersäkerhetsrisker och cybersäkerhetsriskkategorier bedöms enligt fastställda metoder (exempelvis genom att jämföra med förverkligade fall och kvantifiera risken).</t>
  </si>
  <si>
    <t>Cybersäkerhetsrisker och cybersäkerhetsriskkategorier med högre prioritet analyseras enligt fastställda metoder (exempelvis genom att analysera hur vanliga förverkligade fall är i syfte att bedöma riskens sannolikhet eller genom att använda resultat från bedömningar av skyddsmekanismer för att fastställa ett objekts riskkänslighet).</t>
  </si>
  <si>
    <t>Berörda parter från lämpliga enheter för operativ verksamhet och affärsverksamhet inom organisationen deltar i analysen av cybersäkerhetsrisker med högre prioritet.</t>
  </si>
  <si>
    <t>Den aktiva uppföljningen av cybersäkerhetsriskkategorier eller cybersäkerhetsrisker avslutas först efter att de inte längre kräver uppföljning eller åtgärder.</t>
  </si>
  <si>
    <t>Analyserna av cybersäkerhetsriskerna uppdateras då och då samt i specifika situationer såsom i samband med systemförändringar eller externa händelser.</t>
  </si>
  <si>
    <t>Reaktion på risker</t>
  </si>
  <si>
    <t>De åtgärder som man beslutat om utifrån analysen ska genomföras systematiskt och enligt prioriteringen. Slutresultatets effektivitet och tillräcklighet måste bedömas för att se om den återstående risken är på en godtagbar nivå. Eftersom verksamhetsmiljön kan förändras med tiden måste de utförda åtgärderna även framöver bedömas regelbundet för att säkerställa att de fortfarande är tillräckliga och ändamålsenliga.</t>
  </si>
  <si>
    <t>Sätt att reagera på risker (såsom att minska, godkänna, undvika eller överföra risken) används för cybersäkerhetsrisker och cybersäkerhetsriskkategorier. På nivå 1 behöver detta inte vara systematiskt och regelbundet.</t>
  </si>
  <si>
    <t>Sätten att reagera på risker väljs och genomförs enligt de fastställda metoderna, som baserar sig på analyser och prioriteringar.</t>
  </si>
  <si>
    <t>Man utvärderar hur planeringen av skyddsmekanismer för cybersäkerheten har lyckats och dess faktiska effekter på minskningen av cyberrisker.</t>
  </si>
  <si>
    <t>Företagsledningen kontrollerar resultaten av både bedömningarna av cyberriskernas effekter och bedömningarna av skyddsmekanismerna för cybersäkerheten för att säkerställa att riskhanteringen är tillräcklig och att riskerna överensstämmer med organisationens villighet att ta risker.</t>
  </si>
  <si>
    <t>Företagsledningen granskar sätten att reagera på risker (såsom att minska, godkänna, undvika eller överföra risken) då och då för att säkerställa deras lämplighet.</t>
  </si>
  <si>
    <t>För verksamheten inom ämnesområdet RISK har man fastställt dokumenterade rutiner, som följs och uppdateras regelbundet.</t>
  </si>
  <si>
    <t>Det finns tillräckligt med resurser för verksamheten inom ämnesområdet RISK (personal, finansiering och verktyg).</t>
  </si>
  <si>
    <t>Verksamheten inom ämnesområdet RISK styrs genom krav som ställts upp i policyn på organisationens ledningsnivå (eller i motsvarande anvisningar).</t>
  </si>
  <si>
    <t>De arbetstagare som utför verksamheten inom ämnesområdet RISK har tillräckliga kunskaper och färdigheter för sina uppgifter.</t>
  </si>
  <si>
    <t>De ansvar, kontoskyldigheter och behörigheter som krävs för verksamheten inom ämnesområdet RISK har delats ut till lämpliga arbetstagare.</t>
  </si>
  <si>
    <t>Effektiviteten hos verksamheten inom ämnesområdet RISK utvärderas och följs upp.</t>
  </si>
  <si>
    <t>Lägesbild (SITUATION)</t>
  </si>
  <si>
    <t>Ta fram och underhåll funktioner och tekniker för insamling, analys, larmning, presentation och utnyttjande av operativ information och information om cybersäkerhet genom att använda de lägesbilder och den information som nämns i andra avsnitt, så att du kan skapa en lägesbild över organisationens funktion och över cybersäkerhetsnivån.</t>
  </si>
  <si>
    <t>Hantering av loggar</t>
  </si>
  <si>
    <t xml:space="preserve">Loggning bör vara införd utifrån skyddade objekts verkningar på verksamheten. Ju större potentiell inverkan exempelvis ett riskutsatt skyddat objekt har, desto mer information ska organisationen samla in om objektet. </t>
  </si>
  <si>
    <t>Logginformation samlas in för apparater, programvaror och informationsresurser som är viktiga för funktionen [se ASSET-1a, ASSET-2a]. På nivå 1 behöver detta inte vara systematiskt och regelbundet.</t>
  </si>
  <si>
    <t>Logginformation samlas in från sådana apparater, programvaror och informationsresurser som skulle kunna användas för att uppnå en angripares mål.</t>
  </si>
  <si>
    <t>För loggningen har man definierat närmare krav som ska följas för sådana apparater, programvaror och informationsresurser som beskrivs i punkterna 1a och 1b.</t>
  </si>
  <si>
    <t>Logginformationen sammanställs centraliserat inom funktionen.</t>
  </si>
  <si>
    <t>För högprioriterade apparater, programvaror och informationsresurser [se ASSET-1d] samlar man in grundligare logginformation.</t>
  </si>
  <si>
    <t>Övervakning av miljöer</t>
  </si>
  <si>
    <t>Med hjälp av uppföljning och analys av information som har samlats in via loggdata och andra källor kan organisationen förstå vilken operativ status och cybersäkerhetsstatus verksamheten har.</t>
  </si>
  <si>
    <t>Man granskar logguppgifterna och övervakar cybersäkerheten på andra sätt. På nivå 1 behöver detta inte vara systematiskt och regelbundet.</t>
  </si>
  <si>
    <t>IT-miljöer (och eventuella OT-miljöer) övervakas med tanke på avvikande verksamhet och eventuella cybersäkerhetshändelser. På nivå 1 behöver detta inte vara systematiskt och regelbundet.</t>
  </si>
  <si>
    <t>Närmare krav har fastställts för övervakningen och för analysen av observationer, och kraven uppdateras regelbundet och omfattar granskning av information om händelser i rätt tid.</t>
  </si>
  <si>
    <t>Man har fastställt indikatorer för upptäckande av avvikande verksamhet som baserar sig på systemloggar, analyser av dataläckor, nätverkens baskonfigurationer samt cybersäkerhetshändelser och -arkitektur. IT-miljöerna (och eventuella OT-miljöer) övervakas med hjälp av dessa indikatorer.</t>
  </si>
  <si>
    <t>För identifiering av cybersäkerhetshändelser har man fastställt olika larm och aviseringar, som uppdateras regelbundet.</t>
  </si>
  <si>
    <t>Övervakningsåtgärderna är i linje med funktionens hotprofil [se THREAT-2d].</t>
  </si>
  <si>
    <t>Striktare övervakning tillämpas för högprioriterade apparater, programvaror och informationsresurser [se ASSET-1d].</t>
  </si>
  <si>
    <t>I IT-miljöer (och eventuella OT-miljöer) sker kontinuerlig övervakning för att upptäcka avvikande verksamhet.</t>
  </si>
  <si>
    <t>Information från riskanalyserna [se RISK-3d] används när man fastställer indikatorer för avvikande verksamhet.</t>
  </si>
  <si>
    <t>Indikatorerna för avvikande verksamhet bedöms och uppdateras då och då samt i specifika situationer såsom i samband med systemförändringar eller externa händelser.</t>
  </si>
  <si>
    <t>Upprätthållande av lägesbild</t>
  </si>
  <si>
    <t>Information om lägesbilden till relevanta beslutsfattare är kärnan i en samlad lägesbild. Trots att flera implementeringar av en samlad lägesbild kan innehålla visuella element (t.ex. manöverpaneler, kartor eller andra grafiska användargränssnitt), är de inte obligatoriska för att uppnå målen. Organisationer kan även använda andra metoder för att informera om lägesbilden.</t>
  </si>
  <si>
    <t>Man har fastställt metoder för kommunikation om lägesbilden för funktionens cybersäkerhet, som uppdateras regelbundet.</t>
  </si>
  <si>
    <t>Tillsynsinformationen sammanställs för att bilda en operativ lägesbild för funktionen.</t>
  </si>
  <si>
    <t>Tillämplig information från olika delar av organisationen finns tillgänglig för att berika lägesbilden.</t>
  </si>
  <si>
    <t>Krav har fastställts för rapporteringen av lägesbilden. Hit hör att dela cybersäkerhetsinformation i rätt tid till berörda parter som organisationen definierat.</t>
  </si>
  <si>
    <t>Övervakningsinformationen sammanställs och analyseras för att ge en lägesbild av funktionens cybersäkerhet (nästan) i realtid.</t>
  </si>
  <si>
    <t>För att berika lägesbilden samlar man in lämplig information utanför organisationen. Denna information distribueras också till de interna berörda parter som organisationen definierat.</t>
  </si>
  <si>
    <t>För analysen av mottagen cybersäkerhetsinformation har man fastställt åtgärder som stöder bildandet av en lägesbild.</t>
  </si>
  <si>
    <t>Organisationen har dokumenterat driftlägen som definierats på förhand, och som kan tas i bruk om funktionens cybersäkerhetssituation kräver det och/eller om verksamheten inom andra ämnesområden kräver det [se THREAT-1k, RESPONSE-3h].</t>
  </si>
  <si>
    <t>För verksamheten inom ämnesområdet SITUATION har man fastställt dokumenterade rutiner, som följs och uppdateras regelbundet.</t>
  </si>
  <si>
    <t>Det finns tillräckligt med resurser för verksamheten inom ämnesområdet SITUATION (personal, finansiering och verktyg).</t>
  </si>
  <si>
    <t>Verksamheten inom ämnesområdet SITUATION styrs genom krav som ställts upp i policyn på organisationens ledningsnivå (eller i motsvarande anvisningar).</t>
  </si>
  <si>
    <t>De arbetstagare som utför verksamheten inom ämnesområdet SITUATION har tillräckliga kunskaper och färdigheter för sina uppgifter.</t>
  </si>
  <si>
    <t>De ansvar, kontoskyldigheter och behörigheter som krävs för verksamheten inom ämnesområdet SITUATION har delats ut till lämpliga arbetstagare.</t>
  </si>
  <si>
    <t>Effektiviteten hos verksamheten inom ämnesområdet SITUATION utvärderas och följs upp.</t>
  </si>
  <si>
    <t>Hantering av risker i partnernätverket (THIRDPARTY)</t>
  </si>
  <si>
    <t>Fastställ och underhåll kontroller för att hantera sådana cybersäkerhetsrisker mot tjänster och skyddade objekt som är beroende av externa entiteter, i förhållande till den kritiska infrastrukturen och riskerna mot organisationens mål.</t>
  </si>
  <si>
    <t>Identifiering och prioritering av partnernätverket</t>
  </si>
  <si>
    <t>Identifiering av beroendeförhållanden omfattar att skapa och upprätthålla en övergripande förståelse av viktiga externa relationer som är delaktiga i tillhandahållandet av tjänster.</t>
  </si>
  <si>
    <t>Betydande IT-beroenden (och eventuella OT-beroenden) har identifierats (här avses sådana interna eller externa funktioner som funktionen är beroende av – inklusive partner som ansvarar för att operera funktionerna). På nivå 1 behöver detta inte vara systematiskt och regelbundet.</t>
  </si>
  <si>
    <t>Aktörer i partnernätverket som äger, administrerar eller på annat sätt har tillgång till apparater, programvaror eller informationsresurser som är viktiga för funktionen har identifierats. På nivå 1 behöver detta inte vara systematiskt och regelbundet.</t>
  </si>
  <si>
    <t>Aktörerna i partnernätverket har prioriterats med hjälp av fastställda kriterier (exempelvis hur viktiga de är för funktionen, effekten av eventuella kränkningar eller störningssituationer, möjlighet att förhandla om de cybersäkerhetskrav som ställs upp i avtalet).</t>
  </si>
  <si>
    <t>Höjd prioritet har tilldelats sådana leverantörer och andra aktörer i partnernätverket för vars del äventyrande eller störningar kan leda till betydande följder (exempelvis beroenden av enskilda leverantörer eller leverantörer som har särskilda rättigheter).</t>
  </si>
  <si>
    <t>Prioriteringen av leverantörer och andra aktörer i partnernätverket uppdateras då och då samt i specifika situationer såsom i samband med systemförändringar eller externa händelser.</t>
  </si>
  <si>
    <t>Hantering av risker i anknytning till partnernätverket</t>
  </si>
  <si>
    <t>Hantering av beroenderisker omfattar oberoende testning, kodgranskning, sårbarhetsskanning och granskning av bevis från tjänsteleverantören för att en säker välfungerande modell för programvaruutveckling har följts. De avtal som har ingåtts om produkter och tjänster med samarbetspartner och leverantörer ska granskas och godkännas med tanke på hantering av cybersäkerhetsrisker så att avtalstexterna kräver att leverantörerna ska uppfylla eller överskrida de cybersäkerhetsstandarder och cybersäkerhetsriktlinjer som fastställs i avtalen. Övervaknings- och revisionsprocesser kan fastställas i avtal om servicenivå i syfte att säkra att leverantörerna och deras tjänster uppfyller kraven på informationssäkerhet och verksamhetskapacitet.</t>
  </si>
  <si>
    <t>Valet av leverantörer och andra aktörer i partnernätverket påverkas av en bedömning av deras cybersäkerhetskompetens. På nivå 1 behöver detta inte vara systematiskt och regelbundet.</t>
  </si>
  <si>
    <t>Val av produkter och tjänster påverkas av en bedömning av deras cyberförmågor. På nivå 1 behöver detta inte vara systematiskt och regelbundet.</t>
  </si>
  <si>
    <t>De fastställda metoderna följs när man identifierar cybersäkerhetskrav och genomför skyddsåtgärder i anknytning till dem, genom vilka man skyddar sig mot risker som orsakas av leverantörer och aktörer i partnernätverket.</t>
  </si>
  <si>
    <t>De fastställda metoderna följs när man bedömer och väljer leverantörer och andra aktörer i partnernätverket.</t>
  </si>
  <si>
    <t>Striktare skyddsåtgärder genomförs för leverantörer och andra aktörer i partnernätverket som har hög prioritet.</t>
  </si>
  <si>
    <t>Cybersäkerhetskrav är en officiell del av de avtal som ingås med leverantörer och andra aktörer i partnernätverket.</t>
  </si>
  <si>
    <t>Leverantörerna och andra aktörer i partnernätverket visar med jämna mellanrum sina förmågor att uppfylla de fastställda cybersäkerhetskraven.</t>
  </si>
  <si>
    <t>Cybersäkerhetskraven för leverantörer och andra aktörer i partnernätverket inkluderar till tillämpliga delar krav på säker programvaru- och produktutveckling.</t>
  </si>
  <si>
    <t>Som en del av urvalskriterierna har man på ett lämpligt sätt beaktat när användningstiden och användningssupporten löper ut.</t>
  </si>
  <si>
    <t>Som en del av urvalskriterierna har man på ett lämpligt sätt beaktat åtgärder mot förfalskade eller äventyrade programvaror, apparater eller tjänster.</t>
  </si>
  <si>
    <t>Till godkännandetestningen av apparater, programvaror och informationsresurser som anskaffas hör testning av cybersäkerhetskraven.</t>
  </si>
  <si>
    <t>För verksamheten inom ämnesområdet THIRDPARTY har man fastställt dokumenterade rutiner, som följs och uppdateras regelbundet.</t>
  </si>
  <si>
    <t>Det finns tillräckligt med resurser för verksamheten inom ämnesområdet THIRDPARTY (personal, finansiering och verktyg).</t>
  </si>
  <si>
    <t>Verksamheten inom ämnesområdet THIRDPARTY styrs genom krav som ställts upp i policyn på organisationens ledningsnivå (eller i motsvarande anvisningar).</t>
  </si>
  <si>
    <t>De arbetstagare som utför verksamheten inom ämnesområdet THIRDPARTY har tillräckliga kunskaper och färdigheter för sina uppgifter.</t>
  </si>
  <si>
    <t>De ansvar, kontoskyldigheter och behörigheter som krävs för verksamheten inom ämnesområdet THIRDPARTY har delats ut till lämpliga arbetstagare.</t>
  </si>
  <si>
    <t>Effektiviteten hos verksamheten inom ämnesområdet THIRDPARTY utvärderas och följs upp.</t>
  </si>
  <si>
    <t>Hantering av hot och sårbarheter (THREAT)</t>
  </si>
  <si>
    <t>I ämnesområdet hantering av hot och sårbarheter bedöms organisationens förmåga att fastställa och upprätthålla planer, processer och tekniker för att upptäcka, identifiera, analysera, hantera och ingripa i cyberhot och -sårbarheter – i förhållande till de risker som berör organisationen och organisationens mål. Med cyberhot avses vilken situation eller händelse som helst som kan ha negativa effekter på organisationens resurser och verksamhet (inklusive exempelvis organisationens mål, funktioner, anseende eller rykte) eller indirekt på andra organisationer (som en följd av exempelvis olovlig användning eller förstöring av organisationens IT-, OT- eller kommunikationssystem, offentliggörande eller manipulering av information eller ett överlastningsangrepp). IT-, OT- och kommunikationssystem är föremål för en mängd olika hot, som dessutom kan vara förknippade med olika hotfaktorer, skadliga program (såsom virus och maskar) eller omfattande spridda överlastningsangrepp. En cybersäkerhetssårbarhet är en brist eller lucka i ett IT-, OT- eller kommunikationssystem, en apparat, en verksamhetsmodell eller en intern skyddsmekanism, som ett eventuellt hot kan utnyttja.</t>
  </si>
  <si>
    <t>Minskning av sårbarheter</t>
  </si>
  <si>
    <t>Minskning av sårbarheter inleds med insamling och analys av information om sårbarheter. Sårbarheter kan kartläggas exempelvis med hjälp av automatiska skanningsverktyg, nätverksintrångstester, cyberövningar eller auditeringar. I en analys av sårbarheter ska man beakta både den lokala effekten (det vill säga sårbarhetens möjliga effekt på det skyddade objektet i sig självt) och det skyddade objektets betydelse för hela funktionen i ett större perspektiv. Sårbarheter kan bekämpas genom att vidta skyddade åtgärder, följa hotsituationen och installera datasäkerhetsuppdateringar samt på andra sätt.</t>
  </si>
  <si>
    <t>Lämpliga informationskällor som stöd för identifieringen av sårbarheter har identifierats. På nivå 1 behöver detta inte vara systematiskt och regelbundet.</t>
  </si>
  <si>
    <t>Uppgifter om sårbarheter samlas in och tolkas för funktionen. På nivå 1 behöver detta inte vara systematiskt och regelbundet.</t>
  </si>
  <si>
    <t>Man gör sårbarhetsbedömningar. På nivå 1 behöver detta inte vara systematiskt och regelbundet.</t>
  </si>
  <si>
    <t>Man ingriper i sårbarheter som är av betydelse för funktionen (exempelvis genom att öka övervakningen eller installera korrigerande uppdateringar). På nivå 1 behöver detta inte vara systematiskt och regelbundet.</t>
  </si>
  <si>
    <t>Källorna till sårbarhetsinformation täcker de apparater och programvaror som prioriteras högt [se ASSET-1d], och informationskällorna följs regelbundet.</t>
  </si>
  <si>
    <t>Sårbarhetsbedömningar görs då och då samt i specifika situationer såsom i samband med systemförändringar eller externa händelser.</t>
  </si>
  <si>
    <t>Man analyserar, prioriterar och ingriper i de identifierade sårbarheterna med de metoder som situationen kräver.</t>
  </si>
  <si>
    <t>Programvarureparationernas effekter på den operativa verksamheten inom funktionen bedöms innan reparationerna installeras.</t>
  </si>
  <si>
    <t>Information om upptäckta sårbarheter delas med de aktörer som organisationen har fastställt</t>
  </si>
  <si>
    <t>Sårbarhetsbedömningarna görs av en oberoende aktör som inte har någon anknytning till den operativa verksamheten inom funktionen.</t>
  </si>
  <si>
    <t>Identifierade sårbarheter som är förknippade med högre risk styrs vidare i organisationens riskhanteringsprocess så att åtgärder kan vidtas.</t>
  </si>
  <si>
    <t>Till uppföljningen av sårbarheter hör också till tillämpliga delar granskning av de åtgärder som vidtagits med anledning av dem.</t>
  </si>
  <si>
    <t>Bekämpning av hot och spridning av information om hot</t>
  </si>
  <si>
    <t>Identifieringen och hanteringen av hot börjar med insamling av information om hot från tillförlitliga källor, tillämpning av den insamlade informationen i förhållande till organisationens verksamhetsmiljö och reaktion på de hot som kan hota tjänsternas driftssäkerhet. Organisationens hotprofil innehåller beskrivningar av möjliga hotfaktorer, inklusive hotfaktorernas förmågor, mål och objekt. Hotprofilen kan användas för att närmare identifiera hot och som en del av riskanalysen, riskbedömningen [se RISK] och bildandet av en lägesbild över cybersäkerheten [se SITUATION].</t>
  </si>
  <si>
    <t>Lämpliga informationskällor som stöd för identifieringen av hot har identifierats. På nivå 1 behöver detta inte vara systematiskt och regelbundet.</t>
  </si>
  <si>
    <t>Uppgifter om hot samlas in och tolkas för funktionen. På nivå 1 behöver detta inte vara systematiskt och regelbundet.</t>
  </si>
  <si>
    <t>Man ingriper i hot som är av betydelse för funktionen (exempelvis genom att öka övervakningen eller följa hotens utveckling). På nivå 1 behöver detta inte vara systematiskt och regelbundet.</t>
  </si>
  <si>
    <t>Man har definierat en hotprofil för funktionen. I hotprofilen beskrivs möjliga hotfaktorer samt exempelvis dessas motiv, avsikter, förmågor och objekt.</t>
  </si>
  <si>
    <t>Källorna till informationen om hot omfattar alla olika delar av hotprofilen, och dessa informationskällor följs regelbundet.</t>
  </si>
  <si>
    <t>Man analyserar, prioriterar och ingriper i de identifierade hoten med de metoder som situationen kräver.</t>
  </si>
  <si>
    <t>Man utbyter information om hot med berörda parter som definierats av organisationen (dessa kan vara exempelvis serviceproducenter, myndigheter, andra organisationer inom branschen, ISAC-grupper eller andra interna och externa berörda parter).</t>
  </si>
  <si>
    <t>Verksamhetens hotprofil uppdateras då och då samt i specifika situationer såsom i samband med systemförändringar eller externa händelser.</t>
  </si>
  <si>
    <t>Identifierade hot som är förknippade med högre risk styrs vidare i organisationens riskhanteringsprocess så att vidare åtgärder kan vidtas.</t>
  </si>
  <si>
    <t>I uppföljningen av och reaktionen på hot följer man driftlägen som definierats på förhand [se SITUATION-3h].</t>
  </si>
  <si>
    <t>Information om hot hanteras med säkra metoder i så nära realtid som möjligt, för att säkerställa att man snabbt analyserar och ingriper i hot.</t>
  </si>
  <si>
    <t>För verksamheten inom ämnesområdet THREAT har man fastställt dokumenterade rutiner, som regelbundet följs och uppdateras.</t>
  </si>
  <si>
    <t>Det finns tillräckligt med resurser för verksamheten inom ämnesområdet THREAT (personal, finansiering och verktyg).</t>
  </si>
  <si>
    <t>Verksamheten inom ämnesområdet THREAT styrs genom krav som ställts upp i policyn på organisationens ledningsnivå (eller i motsvarande anvisningar).</t>
  </si>
  <si>
    <t>De arbetstagare som utför verksamheten inom ämnesområdet THREAT har tillräckliga kunskaper och färdigheter för sina uppgifter.</t>
  </si>
  <si>
    <t>De ansvar, kontoskyldigheter och behörigheter som krävs för verksamheten inom ämnesområdet THREAT  har delats ut till lämpliga arbetstagare.</t>
  </si>
  <si>
    <t>Effektiviteten hos verksamheten inom ämnesområdet THREAT utvärderas och följs upp.</t>
  </si>
  <si>
    <t>Personalledning och -utveckling (WORKFORCE)</t>
  </si>
  <si>
    <t>Inför och uppdatera planer, processer, tekniker och kontroller för att kunna upprätthålla en cybersäkerhetskultur och säkerställa en lämplig och kompetent personal med hänsyn till riskerna mot den kritiska infrastrukturen och organisationens mål.</t>
  </si>
  <si>
    <t>Ansvar för cybersäkerhet</t>
  </si>
  <si>
    <t>En viktig del av fastställandet av ansvarsområden inom cybersäkerhet är att säkra att enskilda ansvarsområden är tillräckligt omfattande och att ersättare har fastställts. Det är till exempel ofta enkelt att fastställa specifika personalroller som har ett betydande cybersäkerhetsansvar, men det är svårt att upprätthålla rollerna. Det är högst viktigt att göra upp planer för utbildning, testning, säkring av ersättare och bedömning av prestationer för nyckelroller inom cybersäkerhet (t.ex. systemadministratörer). Ansvarsområden inom cybersäkerhet är naturligtvis inte endast begränsade till konventionella IT-roller, utan till exempel vissa utvecklare kan ha vissa ansvarsområden.</t>
  </si>
  <si>
    <t>Ansvarsfördelningen för cybersäkerheten inom organisationen har identifierats. På nivå 1 behöver detta inte vara systematiskt och regelbundet.</t>
  </si>
  <si>
    <t>Ansvaret för cybersäkerheten har tilldelats namngivna personer. På nivå 1 behöver detta inte vara systematiskt och regelbundet.</t>
  </si>
  <si>
    <t>Ansvaret för cybersäkerheten har tilldelats namngivna roller (inklusive eventuella externa serviceproducenter).</t>
  </si>
  <si>
    <t>Ansvaret för cybersäkerheten har dokumenterats.</t>
  </si>
  <si>
    <t>Ansvarsfördelningen för cybersäkerheten och kraven på arbetsuppgifterna granskas och uppdateras då och då samt i specifika situationer såsom i samband med systemförändringar eller när organisationsstrukturen förändras.</t>
  </si>
  <si>
    <t>Det fördelade ansvaret för cybersäkerheten administreras så att man säkerställer dess tillräcklighet och tillräcklig överlappning (inklusive planering av personalväxling).</t>
  </si>
  <si>
    <t>Personalutveckling med fokus på cybersäkerhet</t>
  </si>
  <si>
    <t>Till utvecklingen av organisationens cybersäkerhetspersonal (det vill säga de arbetstagare vars uppgifter omfattar ansvar för cybersäkerheten) hör utbildning av befintliga arbetstagare och vid behov rekrytering av nya arbetstagare för att åtgärda identifierade kompetensbrister. I rekryteringsprocesser ska man beakta exempelvis att både rekryterarna och de som intervjuas ska vara medvetna om de behov som gäller organisationens cybersäkerhetspersonal. Därtill ska arbetstagarna (och externa leverantörer) regelbundet delta i utbildningar som förbättrar personalens medvetenhet om cybersäkerhet (exempelvis för att minska nätfiske och andra hot). Utbildningarnas och medvetenhetskampanjernas effektivitet ska bedömas enligt behov.</t>
  </si>
  <si>
    <t>Cybersäkerhetsutbildning är tillgänglig för sådana arbetstagare som har tilldelats ansvar för cybersäkerheten. På nivå 1 behöver detta inte vara systematiskt och regelbundet.</t>
  </si>
  <si>
    <t>Kraven på kunskaper, färdigheter och förmågor i anknytning till cybersäkerhet samt eventuella brister i dessa har identifierats med tanke på både nuvarande och framtida behov. På nivå 1 behöver detta inte vara systematiskt och regelbundet.</t>
  </si>
  <si>
    <t>Åtgärderna för utbildning och rekrytering av personal samt personalväxling är i linje med varandra så att åtgärder kan riktas mot upptäckta personal- eller kompetensbrister.</t>
  </si>
  <si>
    <t>Cybersäkerhetsutbildning är en förutsättning för beviljande av användnings- eller åtkomsträttigheter till apparater, programvaror och informationsresurser som är viktiga för funktionen.</t>
  </si>
  <si>
    <t>Utbildningsverksamhetens effektivitet utvärderas då och då och utbildningen utvecklas enligt behov.</t>
  </si>
  <si>
    <t>Utbildningsprogram innehåller kontinuerlig utbildning och möjligheter till yrkesmässig utveckling för personer som har betydande ansvar inom cybersäkerhet</t>
  </si>
  <si>
    <t>Personalförvaltningsprocesser</t>
  </si>
  <si>
    <t>Personaladministrationskontrollerna omfattar bakgrundskontroller av anställda (t.ex. säkerhetsutredningar) och en riskbaserad utnämning av anställda till arbetsuppgifter med åtkomst till skyddade objekt som är integrerade i tillhandahållandet av kritiska tjänster. En högre risknivå fastställs till exempel för systemadministratörer (som vanligen har rättigheter att göra ändringar i inställningarna, redigera eller radera loggdata, skapa nya konton och byta lösenord). Nödvändiga åtgärder vidtas för att skydda system till följd av sådana användares avsiktliga och oavsiktliga aktiviteter.</t>
  </si>
  <si>
    <t>Olika kontroller (exempelvis bakgrundskontroller, drogtester) görs när nya arbetstagare anställs. På nivå 1 behöver detta inte vara systematiskt och regelbundet.</t>
  </si>
  <si>
    <t>I förfarandena för avslutande av en anställning beaktas cybersäkerheten. På nivå 1 behöver detta inte vara systematiskt och regelbundet.</t>
  </si>
  <si>
    <t>Olika kontroller görs för sådana arbetstagare som har användnings- eller åtkomsträttigheter till apparater, programvaror och informationsresurser som är viktiga för en funktion.</t>
  </si>
  <si>
    <t>Cybersäkerheten beaktas i förfaranden för interna överföringar av arbetstagare.</t>
  </si>
  <si>
    <t>Användarna känner till sitt ansvar i fråga om skydd och godkänd användning av apparater, programvaror och informationsresurser.</t>
  </si>
  <si>
    <t>Varje arbetsuppgift granskas på ett lämpligt sätt i förhållande till arbetsuppgiftens risker (inklusive arbetstagare, leverantörer och underleverantörer).</t>
  </si>
  <si>
    <t>Det finns officiella förfaranden och eventuella påföljdsförfaranden för situationer där en arbetstagare försummar de krav som ställs i cybersäkerhetspolicyn eller -reglerna.</t>
  </si>
  <si>
    <t>Utbildning och ökning av medvetenheten om cybersäkerhet</t>
  </si>
  <si>
    <t>Det är lika viktigt att öka medvetenheten om cybersäkerhet som att implementera tekniska kontroller i syfte att förbättra cybersäkerheten i organisationen. Ofta inleds ett cyberangrepp så att angriparen får fotfäste i organisationens IT- och OT-system. Angriparen kan till exempel skapa ett förtroendeförhållande till en oförsiktig anställd eller en oförsiktig underleverantör som i sin tur inför skadliga filer eller enheter i organisationen. Organisationen ska dela information för att kunna identifiera tvivelaktig verksamhet, skräppost, nätfiske och social manipulering, och om hur anställda ska kunna undvika att dela organisationens konfidentiella information till potentiella angripare. Det är till exempel möjligt att via en intern webbplats dela information om nya hot och sårbarheter inom sektorn. Om information om hot, sårbarheter och bästa praxis inte delas inom organisationen, kan det hända att anställda låter bli att följa delar av processer och anvisningar.</t>
  </si>
  <si>
    <t>Personalens medvetenhet om cybersäkerheten förbättras på olika sätt. På nivå 1 behöver detta inte vara systematiskt och regelbundet.</t>
  </si>
  <si>
    <t>För åtgärderna för förbättring av medvetenheten om cybersäkerhet har man fastställt mål, som upprätthålls.</t>
  </si>
  <si>
    <t>Målen för förbättring av medvetenheten om cybersäkerhet är i linje med den hotprofil som organisationen fastställt [se THREAT-2d].</t>
  </si>
  <si>
    <t>Åtgärderna för att förbättra medvetenheten om cybersäkerhet är i linje med de driftlägen som organisationen definierat på förhand [se SITUATION-3h].</t>
  </si>
  <si>
    <t>Effektiviteten hos åtgärderna för förbättring av medvetenheten om cybersäkerhet bedöms då och då samt i specifika situationer såsom vid systemförändringar eller i samband med externa händelser, och de utvecklas vid behov.</t>
  </si>
  <si>
    <t>För verksamheten inom ämnesområdet WORKFORCE har man fastställt dokumenterade rutiner, som följs och uppdateras regelbundet.</t>
  </si>
  <si>
    <t>Det finns tillräckligt med resurser för verksamheten inom ämnesområdet WORKFORCE (personal, finansiering och verktyg).</t>
  </si>
  <si>
    <t>Verksamheten inom ämnesområdet WORKFORCE styrs genom krav som ställts upp i policyn på organisationens ledningsnivå (eller i motsvarande anvisningar).</t>
  </si>
  <si>
    <t>De arbetstagare som utför verksamheten inom ämnesområdet WORKFORCE har tillräckliga kunskaper och färdigheter för sina uppgifter.</t>
  </si>
  <si>
    <t>De ansvar, kontoskyldigheter och behörigheter som krävs för verksamheten inom ämnesområdet WORKFORCE har delats ut till lämpliga arbetstagare.</t>
  </si>
  <si>
    <t>Effektiviteten hos verksamheten inom ämnesområdet WORKFORCE utvärderas och följs upp.</t>
  </si>
  <si>
    <t>Koulutus ja tutkimus</t>
  </si>
  <si>
    <t xml:space="preserve">Muu </t>
  </si>
  <si>
    <t>Informations- och kommunikationsverksamhet</t>
  </si>
  <si>
    <t>Information and communication</t>
  </si>
  <si>
    <t>Utvinning av mineral</t>
  </si>
  <si>
    <t>Mining and quarrying</t>
  </si>
  <si>
    <t>Hotell- och restaurangverksamhet</t>
  </si>
  <si>
    <t>Accommodation and food service activities</t>
  </si>
  <si>
    <t>Media-ala</t>
  </si>
  <si>
    <t>Media industry</t>
  </si>
  <si>
    <t>Mediebranschen</t>
  </si>
  <si>
    <t>Handel</t>
  </si>
  <si>
    <t>Tukku- ja vähittäiskauppa</t>
  </si>
  <si>
    <t>Wholesale and retail trade</t>
  </si>
  <si>
    <t>Hallinto- ja tukipalvelut</t>
  </si>
  <si>
    <t>Uthyrning, fastighetsservice, resetjänster och andra stödtjänster</t>
  </si>
  <si>
    <t>Administrative and support service activities</t>
  </si>
  <si>
    <t>ICT - Informaatio ja viestintä</t>
  </si>
  <si>
    <t>Finanssi - Kiinteistöalan toiminta</t>
  </si>
  <si>
    <t>Logistiikka - Satamatoiminta</t>
  </si>
  <si>
    <t>Kriit. Teollisuus - Lääkkeet ja lääkinnälliset laitteet</t>
  </si>
  <si>
    <t>ICT - ISP ja NSP</t>
  </si>
  <si>
    <t>ICT - Muu</t>
  </si>
  <si>
    <t>ICT - Other</t>
  </si>
  <si>
    <t>ICT - Övrig</t>
  </si>
  <si>
    <t>Public administration</t>
  </si>
  <si>
    <t>Fastighetsverksamhet</t>
  </si>
  <si>
    <t>Real estate activities</t>
  </si>
  <si>
    <t>Mediabranschen</t>
  </si>
  <si>
    <t>Logistics - Harbour</t>
  </si>
  <si>
    <t>Logistik - Hamnen</t>
  </si>
  <si>
    <t>ICT - Telekommunikation</t>
  </si>
  <si>
    <t>ICT - palvelutuotanto, sovelluskehitys, ylläpito</t>
  </si>
  <si>
    <t>ICT - Services, development, maintenance</t>
  </si>
  <si>
    <t>ICT - IT-tjänster, utveckling, underhåll</t>
  </si>
  <si>
    <t>Education and research</t>
  </si>
  <si>
    <t>Utbildning och forskning</t>
  </si>
  <si>
    <t>ICT - Telecommunications</t>
  </si>
  <si>
    <t>Industri - Läkemedel och medicinsk utrustning</t>
  </si>
  <si>
    <t>Critical Manufacturing - Pharmaceutical products and medical devices</t>
  </si>
  <si>
    <t>Laitteet ja tieto</t>
  </si>
  <si>
    <t>1 - Not implemented or Unknown</t>
  </si>
  <si>
    <t xml:space="preserve">0 - Not answered </t>
  </si>
  <si>
    <t xml:space="preserve">0 - Vastaus puuttuu </t>
  </si>
  <si>
    <t>1 - Ej implementerad eller Okänd</t>
  </si>
  <si>
    <t xml:space="preserve">0 - Inget Svar </t>
  </si>
  <si>
    <t>1 - Ei toteutettu tai ei tietoa</t>
  </si>
  <si>
    <t>C_contact</t>
  </si>
  <si>
    <t>Answer V1</t>
  </si>
  <si>
    <t>Comment V1</t>
  </si>
  <si>
    <t>Practice V1</t>
  </si>
  <si>
    <t>Yritys</t>
  </si>
  <si>
    <r>
      <rPr>
        <b/>
        <sz val="11"/>
        <color rgb="FF0058B1"/>
        <rFont val="Verdana"/>
        <family val="2"/>
        <scheme val="minor"/>
      </rPr>
      <t xml:space="preserve">2. Työkalu kääntää </t>
    </r>
    <r>
      <rPr>
        <sz val="11"/>
        <color rgb="FF0058B1"/>
        <rFont val="Verdana"/>
        <family val="2"/>
        <scheme val="minor"/>
      </rPr>
      <t>tulokset soveltuvin osin Kybermittari v2 muotoon (kenttiin J-L).</t>
    </r>
  </si>
  <si>
    <r>
      <rPr>
        <b/>
        <sz val="11"/>
        <color rgb="FF0058B1"/>
        <rFont val="Verdana"/>
        <family val="2"/>
        <scheme val="minor"/>
      </rPr>
      <t xml:space="preserve">4. </t>
    </r>
    <r>
      <rPr>
        <sz val="11"/>
        <color rgb="FF0058B1"/>
        <rFont val="Verdana"/>
        <family val="2"/>
        <scheme val="minor"/>
      </rPr>
      <t xml:space="preserve">Voit </t>
    </r>
    <r>
      <rPr>
        <b/>
        <sz val="11"/>
        <color rgb="FF0058B1"/>
        <rFont val="Verdana"/>
        <family val="2"/>
        <scheme val="minor"/>
      </rPr>
      <t>kopioida vanhat tulokset</t>
    </r>
    <r>
      <rPr>
        <sz val="11"/>
        <color rgb="FF0058B1"/>
        <rFont val="Verdana"/>
        <family val="2"/>
        <scheme val="minor"/>
      </rPr>
      <t xml:space="preserve"> myös pohjaksi uudelle arvioinnille</t>
    </r>
  </si>
  <si>
    <r>
      <t xml:space="preserve"> - kopioimalla (esimerkki CRITICAL-välilehti) tiedot alueelta O22-S54 toiminnolla </t>
    </r>
    <r>
      <rPr>
        <b/>
        <sz val="11"/>
        <color rgb="FFFF0000"/>
        <rFont val="Verdana"/>
        <family val="2"/>
        <scheme val="minor"/>
      </rPr>
      <t>"paste values"</t>
    </r>
    <r>
      <rPr>
        <sz val="11"/>
        <color theme="2"/>
        <rFont val="Verdana"/>
        <family val="2"/>
        <scheme val="minor"/>
      </rPr>
      <t xml:space="preserve"> alueelle G22-K54.</t>
    </r>
  </si>
  <si>
    <t>Denna tabell kan användas för att överföra eller sända bedömningsresultaten till Cybersäkerhetscentret. Spara det här bladet som en CSV-fil.</t>
  </si>
  <si>
    <t>This table can be used to extract results for storing or sending them to NCSC-FI. Save this sheet as CSV-file.</t>
  </si>
  <si>
    <t>Text</t>
  </si>
  <si>
    <t>Kieli / Språket / Language</t>
  </si>
  <si>
    <t>THREAT, tiedot Infoimport-välilehdeltä</t>
  </si>
  <si>
    <t>RISK, tiedot Infoimport-välilehdeltä</t>
  </si>
  <si>
    <t xml:space="preserve">ACCESS, tiedot Infoimport-välilehdeltä
</t>
  </si>
  <si>
    <t>SITUATION, tiedot Infoimport-välilehdeltä</t>
  </si>
  <si>
    <t>RESPONSE, tiedot Infoimport-välilehdeltä</t>
  </si>
  <si>
    <t>THIRDPARTY, tiedot Infoimport-välilehdeltä</t>
  </si>
  <si>
    <t>PROGRAM, tiedot Infoimport-välilehdeltä</t>
  </si>
  <si>
    <t>ARCHITECTURE, tiedot Infoimport-välilehdeltä</t>
  </si>
  <si>
    <t>WORKFORCE, tiedot Infoimport-välilehdeltä</t>
  </si>
  <si>
    <t xml:space="preserve">ASSET, tiedot Infoimport-välilehdeltä
</t>
  </si>
  <si>
    <t xml:space="preserve">CRITICAL, tiedot Infoimport-välilehdeltä </t>
  </si>
  <si>
    <t>Comment V2</t>
  </si>
  <si>
    <t>Comparability</t>
  </si>
  <si>
    <t xml:space="preserve"> - huomioi että vain käytäntökohtaiset tulokset käännetään alkaen käytännöstä RISK-1a, rivi 68.</t>
  </si>
  <si>
    <t>0</t>
  </si>
  <si>
    <r>
      <rPr>
        <b/>
        <sz val="11"/>
        <color theme="1"/>
        <rFont val="Verdana"/>
        <family val="2"/>
        <scheme val="major"/>
      </rPr>
      <t>Tarkoitus:</t>
    </r>
    <r>
      <rPr>
        <sz val="11"/>
        <color theme="1"/>
        <rFont val="Verdana"/>
        <family val="2"/>
        <scheme val="major"/>
      </rPr>
      <t xml:space="preserve"> Kaaviot esittävät yhteenvedon käytäntöjen arvionnista niinkuin ne on arvioitu neliportaisella asteikolla sekä osioittain että sen mukaan, mille kypsyystasolle käytäntö on sijoitettu. 
</t>
    </r>
    <r>
      <rPr>
        <b/>
        <sz val="11"/>
        <color theme="1"/>
        <rFont val="Verdana"/>
        <family val="2"/>
        <scheme val="major"/>
      </rPr>
      <t>Tulkinta:</t>
    </r>
    <r>
      <rPr>
        <sz val="11"/>
        <color theme="1"/>
        <rFont val="Verdana"/>
        <family val="2"/>
        <scheme val="major"/>
      </rPr>
      <t xml:space="preserve"> Jokainen piiras kuvaa kyseiseen osioon ja kypsyystasolle kuuluvien käytäntöjen täytettyjen vastausten jakauman. Piiraan keskellä on osion kypsyystason käytäntöjen yhteismäärä ja eri väreillä ja luvuilla on esitetty jakauma. 
Kun kaikkiin kyseisen osion ja kypsyystason kysymyksiin on vastattu, niin kehällä olevien numeroiden summa on yhtäsuuri kuin keskellä oleva luku.
Kannattaa ensin katsoa </t>
    </r>
    <r>
      <rPr>
        <i/>
        <sz val="11"/>
        <color theme="1"/>
        <rFont val="Verdana"/>
        <family val="2"/>
        <scheme val="major"/>
      </rPr>
      <t>kypsyystason 1</t>
    </r>
    <r>
      <rPr>
        <sz val="11"/>
        <color theme="1"/>
        <rFont val="Verdana"/>
        <family val="2"/>
        <scheme val="major"/>
      </rPr>
      <t xml:space="preserve"> kuviot ja etsiä sieltä etenkin punaisella merkityt, </t>
    </r>
    <r>
      <rPr>
        <i/>
        <sz val="11"/>
        <color theme="1"/>
        <rFont val="Verdana"/>
        <family val="2"/>
        <scheme val="major"/>
      </rPr>
      <t>Ei toteutettu</t>
    </r>
    <r>
      <rPr>
        <sz val="11"/>
        <color theme="1"/>
        <rFont val="Verdana"/>
        <family val="2"/>
        <scheme val="major"/>
      </rPr>
      <t xml:space="preserve"> -vastaukset sekä </t>
    </r>
    <r>
      <rPr>
        <i/>
        <sz val="11"/>
        <color theme="1"/>
        <rFont val="Verdana"/>
        <family val="2"/>
        <scheme val="major"/>
      </rPr>
      <t>Osittain toteutettu</t>
    </r>
    <r>
      <rPr>
        <sz val="11"/>
        <color theme="1"/>
        <rFont val="Verdana"/>
        <family val="2"/>
        <scheme val="major"/>
      </rPr>
      <t xml:space="preserve"> -vastaukset. Kypsyystason 1 osalta nämä on listattu myös </t>
    </r>
    <r>
      <rPr>
        <b/>
        <sz val="11"/>
        <color theme="1"/>
        <rFont val="Verdana"/>
        <family val="2"/>
        <scheme val="major"/>
      </rPr>
      <t xml:space="preserve">raportilla R4. 
</t>
    </r>
    <r>
      <rPr>
        <sz val="11"/>
        <color theme="1"/>
        <rFont val="Verdana"/>
        <family val="2"/>
        <scheme val="major"/>
      </rPr>
      <t xml:space="preserve">Jotta </t>
    </r>
    <r>
      <rPr>
        <b/>
        <sz val="11"/>
        <color theme="1"/>
        <rFont val="Verdana"/>
        <family val="2"/>
        <scheme val="major"/>
      </rPr>
      <t>raportilla R2</t>
    </r>
    <r>
      <rPr>
        <sz val="11"/>
        <color theme="1"/>
        <rFont val="Verdana"/>
        <family val="2"/>
        <scheme val="major"/>
      </rPr>
      <t xml:space="preserve">:lla näkyvät pylväät vähintään </t>
    </r>
    <r>
      <rPr>
        <b/>
        <sz val="11"/>
        <color theme="1"/>
        <rFont val="Verdana"/>
        <family val="2"/>
        <scheme val="major"/>
      </rPr>
      <t>kypsyystasolla 1</t>
    </r>
    <r>
      <rPr>
        <sz val="11"/>
        <color theme="1"/>
        <rFont val="Verdana"/>
        <family val="2"/>
        <scheme val="major"/>
      </rPr>
      <t xml:space="preserve"> niin kaikki kypsyystason 1 kaavioiden pitää olla vihreitä.</t>
    </r>
    <r>
      <rPr>
        <b/>
        <sz val="11"/>
        <color theme="1"/>
        <rFont val="Verdana"/>
        <family val="2"/>
        <scheme val="major"/>
      </rPr>
      <t xml:space="preserve"> </t>
    </r>
    <r>
      <rPr>
        <sz val="11"/>
        <color theme="1"/>
        <rFont val="Verdana"/>
        <family val="2"/>
        <scheme val="major"/>
      </rPr>
      <t xml:space="preserve"> Kypsyystasoille 2 ja 3 riittää, että edeltävä taso on saavutettu ja yli puolet tason vastauksista on merkitty vihreällä.      </t>
    </r>
  </si>
  <si>
    <t>Not collected</t>
  </si>
  <si>
    <t>Tätä taulukkoa voidaan käyttää arviointitulosten siirtämiseen tai lähettämiseen Kyberturvallisuuskeskukselle. Valitse välilehti alalaidasta hiiren oikealla painikkeella ja kopioi välilehti uudeksi tiedostoksi.  Tallenna uudessa dokumentissa tämä välilehti .CSV muodossa.</t>
  </si>
  <si>
    <r>
      <rPr>
        <b/>
        <sz val="11"/>
        <color theme="1"/>
        <rFont val="Verdana"/>
        <family val="2"/>
        <scheme val="major"/>
      </rPr>
      <t>Tarkoitus:</t>
    </r>
    <r>
      <rPr>
        <sz val="11"/>
        <color theme="1"/>
        <rFont val="Verdana"/>
        <family val="2"/>
        <scheme val="major"/>
      </rPr>
      <t xml:space="preserve"> Kaaviot esittävät prosentuaalisen yhteenvedon käytäntöjen toteutumisesta osioittain sekä sen mukaan, mille kypsyystasolle käytäntö on sijoitettu. 
</t>
    </r>
    <r>
      <rPr>
        <b/>
        <sz val="11"/>
        <color theme="1"/>
        <rFont val="Verdana"/>
        <family val="2"/>
        <scheme val="major"/>
      </rPr>
      <t>Tulkinta:</t>
    </r>
    <r>
      <rPr>
        <sz val="11"/>
        <color theme="1"/>
        <rFont val="Verdana"/>
        <family val="2"/>
        <scheme val="major"/>
      </rPr>
      <t xml:space="preserve"> Jokainen pylväs esittää </t>
    </r>
    <r>
      <rPr>
        <b/>
        <i/>
        <sz val="11"/>
        <color theme="1"/>
        <rFont val="Verdana"/>
        <family val="2"/>
        <scheme val="major"/>
      </rPr>
      <t>prosentuaalisen</t>
    </r>
    <r>
      <rPr>
        <b/>
        <sz val="11"/>
        <color theme="1"/>
        <rFont val="Verdana"/>
        <family val="2"/>
        <scheme val="major"/>
      </rPr>
      <t xml:space="preserve"> osuuden</t>
    </r>
    <r>
      <rPr>
        <sz val="11"/>
        <color theme="1"/>
        <rFont val="Verdana"/>
        <family val="2"/>
        <scheme val="major"/>
      </rPr>
      <t xml:space="preserve"> kyseisen osion ja kypsyystason käytäntöjen toteutumisesta. Jotta yksittäinen käytäntö tulkitaan toteutuneeksi, se pitää olla arvioitu joko </t>
    </r>
    <r>
      <rPr>
        <i/>
        <sz val="11"/>
        <color theme="1"/>
        <rFont val="Verdana"/>
        <family val="2"/>
        <scheme val="major"/>
      </rPr>
      <t>enimmäkseen (3)</t>
    </r>
    <r>
      <rPr>
        <sz val="11"/>
        <color theme="1"/>
        <rFont val="Verdana"/>
        <family val="2"/>
        <scheme val="major"/>
      </rPr>
      <t xml:space="preserve"> tai</t>
    </r>
    <r>
      <rPr>
        <i/>
        <sz val="11"/>
        <color theme="1"/>
        <rFont val="Verdana"/>
        <family val="2"/>
        <scheme val="major"/>
      </rPr>
      <t xml:space="preserve"> täysin toteutetuksi (4)</t>
    </r>
    <r>
      <rPr>
        <sz val="11"/>
        <color theme="1"/>
        <rFont val="Verdana"/>
        <family val="2"/>
        <scheme val="major"/>
      </rPr>
      <t xml:space="preserve">. Tällä raportilla mm. kehitystoimien vaikutus näkyy ehkä helpommin kuin </t>
    </r>
    <r>
      <rPr>
        <b/>
        <sz val="11"/>
        <color theme="1"/>
        <rFont val="Verdana"/>
        <family val="2"/>
        <scheme val="major"/>
      </rPr>
      <t>raportilla R2</t>
    </r>
    <r>
      <rPr>
        <sz val="11"/>
        <color theme="1"/>
        <rFont val="Verdana"/>
        <family val="2"/>
        <scheme val="major"/>
      </rPr>
      <t xml:space="preserve">, mutta on huomioitava kyseessä olevan keskiarvo, joten pitää vielä tarkista ettei keskiarvo peitä merkittäviä puutteita osion sisällä. 
Vaikka toteutuneiden käytäntöjen prosentuaalinen osuus olisi 80-90%, voi osion sisällä olla tavoitteita, jotka laskevat osion kypsyystasoa. -&gt; osion kypsyystaso </t>
    </r>
    <r>
      <rPr>
        <b/>
        <sz val="11"/>
        <color theme="1"/>
        <rFont val="Verdana"/>
        <family val="2"/>
        <scheme val="major"/>
      </rPr>
      <t>raportissa R2</t>
    </r>
    <r>
      <rPr>
        <sz val="11"/>
        <color theme="1"/>
        <rFont val="Verdana"/>
        <family val="2"/>
        <scheme val="major"/>
      </rPr>
      <t xml:space="preserve"> on silti alhaisempi kuin keskiarvo antaa olettaa.       </t>
    </r>
  </si>
  <si>
    <t>KYBERMITTARI-46</t>
  </si>
  <si>
    <t>KYBERMITTARI-47</t>
  </si>
  <si>
    <t>KYBERMITTARI-48</t>
  </si>
  <si>
    <t>Tulosten lähetys Kyberturvallisuuskeskukselle (Export_KTK)</t>
  </si>
  <si>
    <t>Osiokohtainen kypsyystaso -raportti (R7)</t>
  </si>
  <si>
    <t>Osiokohtainen kypsyystasoraportti</t>
  </si>
  <si>
    <t>Export av resultat till Cybersäkerhetscentret (Export_KTK)</t>
  </si>
  <si>
    <t>Ämnesområdesspecifik mognadsrapport (R7)</t>
  </si>
  <si>
    <t>Domain specific maturity level report (R7)</t>
  </si>
  <si>
    <t>Osion käytäntöjen toteutuminen kypsyystasoittain (R6)</t>
  </si>
  <si>
    <t xml:space="preserve">Data Export to NCSC-FI (Export_KTK) </t>
  </si>
  <si>
    <t>Passed practices per domain and maturity level (R6)</t>
  </si>
  <si>
    <t>Godkännä praktiken per ämnesområde och mognadsniveau (R6)</t>
  </si>
  <si>
    <t>Kyberturvallisuuden kehityskohteiden raportti (R4)</t>
  </si>
  <si>
    <t>Rapport över utvecklingsobjekt inom cybersäkerhet (R4)</t>
  </si>
  <si>
    <t>Detailed NIST Framework Core report (R3)</t>
  </si>
  <si>
    <t>Cybersecurity improvements report (R4)</t>
  </si>
  <si>
    <t>Yksityiskohtainen NIST Framework Core -raportti (R3)</t>
  </si>
  <si>
    <t>Detaljerad NIST Framework Core-rapport (R3)</t>
  </si>
  <si>
    <t>Import av resultat (Import)</t>
  </si>
  <si>
    <t>Export av resultat (Export)</t>
  </si>
  <si>
    <t>Nivån på investeringar i cybersäkerhet (Investment)</t>
  </si>
  <si>
    <t>Tulosten vienti (Export)</t>
  </si>
  <si>
    <t>Tulosten tuonti (Import)</t>
  </si>
  <si>
    <t>Kyberturvallisuuden investointien taso (Investment)</t>
  </si>
  <si>
    <t>Level of cybersecurity investments (Investment)</t>
  </si>
  <si>
    <t>Data import (Import)</t>
  </si>
  <si>
    <t>Data export (Export)</t>
  </si>
  <si>
    <r>
      <rPr>
        <b/>
        <sz val="11"/>
        <color theme="1"/>
        <rFont val="Verdana"/>
        <family val="2"/>
        <scheme val="major"/>
      </rPr>
      <t>Tarkoitus:</t>
    </r>
    <r>
      <rPr>
        <sz val="11"/>
        <color theme="1"/>
        <rFont val="Verdana"/>
        <family val="2"/>
        <scheme val="major"/>
      </rPr>
      <t xml:space="preserve"> Kaavio esittää koosteen kymmenen osion lopussa arvioiduista </t>
    </r>
    <r>
      <rPr>
        <b/>
        <sz val="11"/>
        <color theme="1"/>
        <rFont val="Verdana"/>
        <family val="2"/>
        <scheme val="major"/>
      </rPr>
      <t>hallintatoimista</t>
    </r>
    <r>
      <rPr>
        <sz val="11"/>
        <color theme="1"/>
        <rFont val="Verdana"/>
        <family val="2"/>
        <scheme val="major"/>
      </rPr>
      <t xml:space="preserve">. 
</t>
    </r>
    <r>
      <rPr>
        <b/>
        <sz val="11"/>
        <color theme="1"/>
        <rFont val="Verdana"/>
        <family val="2"/>
        <scheme val="major"/>
      </rPr>
      <t>Tulkinta:</t>
    </r>
    <r>
      <rPr>
        <sz val="11"/>
        <color theme="1"/>
        <rFont val="Verdana"/>
        <family val="2"/>
        <scheme val="major"/>
      </rPr>
      <t xml:space="preserve"> </t>
    </r>
    <r>
      <rPr>
        <i/>
        <sz val="11"/>
        <color theme="1"/>
        <rFont val="Verdana"/>
        <family val="2"/>
        <scheme val="major"/>
      </rPr>
      <t>Vaakariveillä</t>
    </r>
    <r>
      <rPr>
        <sz val="11"/>
        <color theme="1"/>
        <rFont val="Verdana"/>
        <family val="2"/>
        <scheme val="major"/>
      </rPr>
      <t xml:space="preserve"> erot kertovat kyseisen hallintatoimen toteutusta eri osioiden osalta. Esimerkiksi voidaan nähdä onko jokaisen osion toimintaa varten tarjolla riittävät resurssit (b-rivi).
</t>
    </r>
    <r>
      <rPr>
        <i/>
        <sz val="11"/>
        <color theme="1"/>
        <rFont val="Verdana"/>
        <family val="2"/>
        <scheme val="major"/>
      </rPr>
      <t>Pystyriveillä</t>
    </r>
    <r>
      <rPr>
        <sz val="11"/>
        <color theme="1"/>
        <rFont val="Verdana"/>
        <family val="2"/>
        <scheme val="major"/>
      </rPr>
      <t xml:space="preserve"> erot kertovat onko kyseisen osioon toiminnan hallintatoimet tasapainossa ja riittävällä tasolla.
Rivit a ja b ovat kypsyystason 2 käytäntöjä. 
Rivien c-f käytännöt sijoittuvat kypsyystasolle 3. </t>
    </r>
  </si>
  <si>
    <r>
      <t xml:space="preserve">Tarkoitus: </t>
    </r>
    <r>
      <rPr>
        <sz val="11"/>
        <color theme="1"/>
        <rFont val="Verdana"/>
        <family val="2"/>
        <scheme val="major"/>
      </rPr>
      <t>Lista toteuttamattomista kypsyystason käytännöistä.</t>
    </r>
    <r>
      <rPr>
        <b/>
        <sz val="11"/>
        <color theme="1"/>
        <rFont val="Verdana"/>
        <family val="2"/>
        <scheme val="major"/>
      </rPr>
      <t xml:space="preserve"> 
Tulkinta: </t>
    </r>
    <r>
      <rPr>
        <sz val="11"/>
        <color theme="1"/>
        <rFont val="Verdana"/>
        <family val="2"/>
        <scheme val="major"/>
      </rPr>
      <t xml:space="preserve">Listalla on kaikki kypsyystason 1 käytännöt, joissa vastaus ei ole vähintään tasolla </t>
    </r>
    <r>
      <rPr>
        <i/>
        <sz val="11"/>
        <color theme="1"/>
        <rFont val="Verdana"/>
        <family val="2"/>
        <scheme val="major"/>
      </rPr>
      <t xml:space="preserve">3 - enimmäkseen toteutettu. Kun lista on tyhjä, arvionnin tulos on jokaisessa osiossa vähintään kypsyystasolla 1. 
Listaa voi hyödyntää mm. kehityskohteiden tunnistamisessa.
</t>
    </r>
  </si>
  <si>
    <r>
      <t xml:space="preserve">Tarkoitus: </t>
    </r>
    <r>
      <rPr>
        <sz val="11"/>
        <color theme="1"/>
        <rFont val="Verdana"/>
        <family val="2"/>
        <scheme val="major"/>
      </rPr>
      <t xml:space="preserve">Kaaviot esittävät tulosten NIST Cybersecurity -viitekehykseen tehdyn ristiiviittauksen mukaisesti.  </t>
    </r>
    <r>
      <rPr>
        <b/>
        <sz val="11"/>
        <color theme="1"/>
        <rFont val="Verdana"/>
        <family val="2"/>
        <scheme val="major"/>
      </rPr>
      <t xml:space="preserve">
Tulkinta: </t>
    </r>
    <r>
      <rPr>
        <sz val="11"/>
        <color theme="1"/>
        <rFont val="Verdana"/>
        <family val="2"/>
        <scheme val="major"/>
      </rPr>
      <t>Kybermittarin käytännöille on tehty ristiin kytkentä NIST CSF viitekehyksen versioon 1.1 (NISTmap-välilehti)</t>
    </r>
    <r>
      <rPr>
        <b/>
        <sz val="11"/>
        <color theme="1"/>
        <rFont val="Verdana"/>
        <family val="2"/>
        <scheme val="major"/>
      </rPr>
      <t>.  
T</t>
    </r>
    <r>
      <rPr>
        <sz val="11"/>
        <color theme="1"/>
        <rFont val="Verdana"/>
        <family val="2"/>
        <scheme val="major"/>
      </rPr>
      <t xml:space="preserve">ulokset esitetään viiden NIST Cybersecurity -viitekehyksen mukaisen kyvykkyyden mukaisesti: tunnistaminen, suojautuminen, havainnointi, reagointi ja palautuminen. 
Tulokset on esitetty toteutumaprosentteina. Kypsyystaso arvio taulukon oikeassa laidassa on viitteellinen.   
Ristiin kytkentä on Kyberturvallisuuskeskuksen tekemä ja se on viittellinen. Tuloksia tulkitessa on hyvä huomioida, että kyseessä ei ole yksi yhteen kytkentä vaan yksi käytäntö voi olla yhdistetty useaan alikategoriaan. Tämän vuoksi eri käytännöillä on varsin erilaiset painoarvot NIST CSF:n tulosten näkökulmasta. 
Samaten toiminnekohtaisten ristiin kytkentöjen määrä ei ole sama.
Identify: 304
Protect: 315
Detect: 131
Respond: 74
Recover: 21
</t>
    </r>
  </si>
  <si>
    <t>I enlighet med referensramen NIST Cybersecurity (CSF v1.1)</t>
  </si>
  <si>
    <t xml:space="preserve"> NIST Cybersecurity (CSF v1.1) -viitekehyksen mukaisesti</t>
  </si>
  <si>
    <t xml:space="preserve"> Following NIST Cybersecurity Framework Core (CSF v1.1)</t>
  </si>
  <si>
    <r>
      <t xml:space="preserve">Tarkoitus: </t>
    </r>
    <r>
      <rPr>
        <sz val="11"/>
        <color theme="1"/>
        <rFont val="Verdana"/>
        <family val="2"/>
        <scheme val="major"/>
      </rPr>
      <t xml:space="preserve">Raportilla esitetään osiokohtaiset tulokset pylväsdiagrammina sekä taulukoinnissa listataan osioiden lisäksi myös tavoitekohtaiset kypsyystasot.  </t>
    </r>
    <r>
      <rPr>
        <b/>
        <sz val="11"/>
        <color theme="1"/>
        <rFont val="Verdana"/>
        <family val="2"/>
        <scheme val="major"/>
      </rPr>
      <t xml:space="preserve">
Tulkinta: </t>
    </r>
    <r>
      <rPr>
        <sz val="11"/>
        <color theme="1"/>
        <rFont val="Verdana"/>
        <family val="2"/>
        <scheme val="major"/>
      </rPr>
      <t xml:space="preserve">Tulokset esitetään yhdentoista Kybermittarin kypsyystasoa esittävän osion mukaisesti. Jokaisen osion kypsyystaso esitetään tasoille nollasta kolmeen. Osiokohtaisen kuvaajan lisäksi, raportti esittää jokaisen tavoitteen kypsyystason. 
</t>
    </r>
    <r>
      <rPr>
        <b/>
        <sz val="11"/>
        <color theme="1"/>
        <rFont val="Verdana"/>
        <family val="2"/>
        <scheme val="major"/>
      </rPr>
      <t>Kypsyysmalli.</t>
    </r>
    <r>
      <rPr>
        <sz val="11"/>
        <color theme="1"/>
        <rFont val="Verdana"/>
        <family val="2"/>
        <scheme val="major"/>
      </rPr>
      <t xml:space="preserve"> Kypsyystasojen laskentamalli noudattaa Kybermittarin laskentamallia. Huomionarvoista on, että C2M2-mallin pisteytykseen verrattuna Kybermittari käyttää kevennettyä arviointia kypsyystasoilla 2 ja 3. Tason voi saavuttaa, kun vähintään 50% kyseisen tason käytännöistä on täytetty kunkin tavoitteen osalta. C2M2-viitekehyksen käytäntöjen lisäksi Kybermittarissa on Kriittisten palveluiden suojaamista arvioiva CRITICAL-välilehti.
</t>
    </r>
    <r>
      <rPr>
        <b/>
        <sz val="11"/>
        <color theme="1"/>
        <rFont val="Verdana"/>
        <family val="2"/>
        <scheme val="major"/>
      </rPr>
      <t>Taso 0:</t>
    </r>
    <r>
      <rPr>
        <sz val="11"/>
        <color theme="1"/>
        <rFont val="Verdana"/>
        <family val="2"/>
        <scheme val="major"/>
      </rPr>
      <t xml:space="preserve"> Toiminta ei täytä perustavanlaatuisia vaatimuksia; 
</t>
    </r>
    <r>
      <rPr>
        <b/>
        <sz val="11"/>
        <color theme="1"/>
        <rFont val="Verdana"/>
        <family val="2"/>
        <scheme val="major"/>
      </rPr>
      <t>Taso 1:</t>
    </r>
    <r>
      <rPr>
        <sz val="11"/>
        <color theme="1"/>
        <rFont val="Verdana"/>
        <family val="2"/>
        <scheme val="major"/>
      </rPr>
      <t xml:space="preserve"> Toiminta täyttää perustavanlaatuiset vaatimukset, mutta voi olla vielä ajoittaista ja toiminnan taso voi vaihdella tapauskohtaisesti; 
</t>
    </r>
    <r>
      <rPr>
        <b/>
        <sz val="11"/>
        <color theme="1"/>
        <rFont val="Verdana"/>
        <family val="2"/>
        <scheme val="major"/>
      </rPr>
      <t>Taso 2:</t>
    </r>
    <r>
      <rPr>
        <sz val="11"/>
        <color theme="1"/>
        <rFont val="Verdana"/>
        <family val="2"/>
        <scheme val="major"/>
      </rPr>
      <t xml:space="preserve"> Toiminta on edistyneempää ja kattavampaa kuin alemmalla tasolla, minkä lisäksi kyberturvallisuuden hallintaa kuvaavat: 
- Dokumentoidut prosessit ja käytänteet; 
- Riittävä resursointi ja osaaminen; sekä 
- Määritetyt roolit ja vastuut. 
</t>
    </r>
    <r>
      <rPr>
        <b/>
        <sz val="11"/>
        <color theme="1"/>
        <rFont val="Verdana"/>
        <family val="2"/>
        <scheme val="major"/>
      </rPr>
      <t>Taso 3:</t>
    </r>
    <r>
      <rPr>
        <sz val="11"/>
        <color theme="1"/>
        <rFont val="Verdana"/>
        <family val="2"/>
        <scheme val="major"/>
      </rPr>
      <t xml:space="preserve"> Toiminta on edistynyttä ja kattavaa, minkä lisäksi kyberturvallisuuden hallintaa kuvaavat: 
- Toimintaa ohjaa organisaation politiikka (tai vastaava ohjeistus); 
- Toiminnalle on asetettu suoritustavoitteet, joita seurataan; sekä 
- Dokumentoidut prosessit ja käytänteet ovat organisaation normien mukaisia ja niiden kehitys on jatkuvaa. 
</t>
    </r>
  </si>
  <si>
    <r>
      <t xml:space="preserve">Tarkoitus: Raportin on tarkoitus kuvata Kybermittarin käytäntöjen prosentuaalista toteutumista NIST CSF alikategorioittain ja kypsyystasoittain. 
Tulkinta: </t>
    </r>
    <r>
      <rPr>
        <sz val="11"/>
        <color theme="1"/>
        <rFont val="Verdana"/>
        <family val="2"/>
        <scheme val="major"/>
      </rPr>
      <t xml:space="preserve"> Yksityiskohtaisempi raportti, joka perustuu Kybermittarin käytäntöjen ristiinkytkentään NIST CSF viitekehykseen. Tämä on tarkoitettu arviointitulosten analysointiin, raportointiin ja sisäisen kehitystyön ohjaamiseen. 
Raportti on tarkoitettu kyberturvallisuuden ja riskienhallinnan ammattilaisille sekä muille teknisille vastuuhenkilöille ja niille organisaatioille, joilla on aiempaa kokemusta NIST-viitekehyksen käytöstä.</t>
    </r>
    <r>
      <rPr>
        <b/>
        <sz val="11"/>
        <color theme="1"/>
        <rFont val="Verdana"/>
        <family val="2"/>
        <scheme val="major"/>
      </rPr>
      <t xml:space="preserve"> 
</t>
    </r>
    <r>
      <rPr>
        <sz val="11"/>
        <color theme="1"/>
        <rFont val="Verdana"/>
        <family val="2"/>
        <scheme val="major"/>
      </rPr>
      <t>Ristiin kytkentä on Kyberturvallisuuskeskuksen tekemä ja se on viittellinen. Tuloksia tulkitessa on hyvä huomioida, että kyseessä ei ole yksi yhteen kytkentä vaan yksi käytäntö voi olla yhdistetty useaan alikategoriaan. Tämän vuoksi Kybermittarin eri käytännöillä on varsin erilaiset painoarvot NIST CSF:n tulosten näkökulmasta. 
Samaten toiminnekohtaisten ristiin kytkentöjen määrä ei ole sama.
Identify: 304
Protect: 315
Detect: 131
Respond: 74
Recover: 21</t>
    </r>
    <r>
      <rPr>
        <b/>
        <sz val="11"/>
        <color theme="1"/>
        <rFont val="Verdana"/>
        <family val="2"/>
        <scheme val="major"/>
      </rPr>
      <t xml:space="preserve">
</t>
    </r>
  </si>
  <si>
    <r>
      <rPr>
        <b/>
        <sz val="11"/>
        <color theme="1"/>
        <rFont val="Verdana"/>
        <family val="2"/>
        <scheme val="major"/>
      </rPr>
      <t>Tarkoitus:</t>
    </r>
    <r>
      <rPr>
        <sz val="11"/>
        <color theme="1"/>
        <rFont val="Verdana"/>
        <family val="2"/>
        <scheme val="major"/>
      </rPr>
      <t xml:space="preserve"> Osiot-välilehtien ohjelaatikoiden valinnainen sisältö.
</t>
    </r>
    <r>
      <rPr>
        <b/>
        <sz val="11"/>
        <color theme="1"/>
        <rFont val="Verdana"/>
        <family val="2"/>
        <scheme val="major"/>
      </rPr>
      <t>Tiedot:</t>
    </r>
    <r>
      <rPr>
        <sz val="11"/>
        <color theme="1"/>
        <rFont val="Verdana"/>
        <family val="2"/>
        <scheme val="major"/>
      </rPr>
      <t xml:space="preserve"> Laatikkoihin kirjoitettu teksti tulee kieliversioista riippuen kyseisen välilehden oikeassa yläkulmassa olevaan ohjelaatikkoon. Tukee tarvittaessa siis myös eri kieliversioita. 
Ei sisällä vielä raporttien ym. Vinkkilaatikoiden sisältöä, joille ei ole totetutettu vielä käännöksiä. </t>
    </r>
  </si>
  <si>
    <t xml:space="preserve"> - kopioi tulokset Kybermittari v1 DataExport-välilehdeltä. Jos haluat kopioida myös kommentit, niin ks. erillinen ohje.</t>
  </si>
  <si>
    <t xml:space="preserve"> - huomioi että käännetyt tulokset alkavat sarakkeissa K-L riviltä 80. Sinisellä pohjalla olevat tulokset eivät ole suoraan vertailukelpoisia.</t>
  </si>
  <si>
    <t xml:space="preserve"> - työkalu esittää nyt käännetyt tulokset jokaisella osiokohtaisella välilehdellä (alkaen CRITICAL-välilehdeltä) sarakkeissa O-Q.</t>
  </si>
  <si>
    <t xml:space="preserve"> - kopioi tulokset Migration-välilehden kohdista K-M Import-välilehden kohtiin D-F alkaen riviltä 81 (liitä arvot, paste values).</t>
  </si>
  <si>
    <t xml:space="preserve"> - kopioi (liitä arvot, paste values) tulokset Kybermittari v2 Migration-välilehdelle (kenttiin D-F).</t>
  </si>
  <si>
    <r>
      <rPr>
        <b/>
        <sz val="11"/>
        <color theme="1"/>
        <rFont val="Verdana"/>
        <family val="2"/>
        <scheme val="major"/>
      </rPr>
      <t xml:space="preserve">Tarkoitus: </t>
    </r>
    <r>
      <rPr>
        <sz val="11"/>
        <color theme="1"/>
        <rFont val="Verdana"/>
        <family val="2"/>
        <scheme val="major"/>
      </rPr>
      <t xml:space="preserve">tämä välilehti koostaa tulokset muista taulukoista, pääosin osiosta ja DATA-välilehdeltä, yhteen, jotta ne on helpompi siirtää uuteen taulukkoon tai muualle analysoitavaksi.
Jos esimerkiksi sarakkeet H-L kopioi </t>
    </r>
    <r>
      <rPr>
        <b/>
        <sz val="11"/>
        <color theme="1"/>
        <rFont val="Verdana"/>
        <family val="2"/>
        <scheme val="major"/>
      </rPr>
      <t>Import-</t>
    </r>
    <r>
      <rPr>
        <sz val="11"/>
        <color theme="1"/>
        <rFont val="Verdana"/>
        <family val="2"/>
        <scheme val="major"/>
      </rPr>
      <t xml:space="preserve">välilehdelle sarakkeisiin D-H (liitä arvot, paste values) niin ne näkyvät jokaisen osion välilehdellä oikeanpuoleisessa taulukossa. Tämä voi olla hyödyllistä, jos esimerkiksi halutaan vertailua edellisen arvioinnin tuloksiin.   
Kyberturvallisuuskeskukselle tulosten jakoa varten on olemassa Export_KTK välilehti. Export_KTK kannattaa lähetystä varten tallentaa CSV-muotoon. </t>
    </r>
  </si>
  <si>
    <r>
      <rPr>
        <b/>
        <sz val="11"/>
        <color theme="1"/>
        <rFont val="Verdana"/>
        <family val="2"/>
        <scheme val="major"/>
      </rPr>
      <t>Tarkoitus:</t>
    </r>
    <r>
      <rPr>
        <sz val="11"/>
        <color theme="1"/>
        <rFont val="Verdana"/>
        <family val="2"/>
        <scheme val="major"/>
      </rPr>
      <t xml:space="preserve">  Tarkoituksena lisätä vertailutietoa raporteille R1 ja R2 sekä soveltua tietojen tuomisen jokaisen osion välilehdelle sarakkeisiin O-S.
</t>
    </r>
    <r>
      <rPr>
        <b/>
        <sz val="11"/>
        <color theme="1"/>
        <rFont val="Verdana"/>
        <family val="2"/>
        <scheme val="major"/>
      </rPr>
      <t xml:space="preserve">Tulkinta: </t>
    </r>
    <r>
      <rPr>
        <sz val="11"/>
        <color theme="1"/>
        <rFont val="Verdana"/>
        <family val="2"/>
        <scheme val="major"/>
      </rPr>
      <t>Tällä hetkellä käytetään tietoja alkaen riviltä 81, ACCESS-1a riville 449, WORKFORCE-5f. Tiedot siirtyvät automaattisesti osioiden välilehdille sarakkeisiin O-S, josta ne voidaan tarvittaessa kopioida esimerkiksi uuden arvioinnin pohjaksi (liitä arvot, paste values) sarakkeisiin G-K. 
Tämä tapahtuu CRITICAL-välilehdellä kopioimalla  tiedot alueelta O22-S54 toiminnolla "</t>
    </r>
    <r>
      <rPr>
        <b/>
        <sz val="11"/>
        <color theme="1"/>
        <rFont val="Verdana"/>
        <family val="2"/>
        <scheme val="major"/>
      </rPr>
      <t>liitä arvot / paste values</t>
    </r>
    <r>
      <rPr>
        <sz val="11"/>
        <color theme="1"/>
        <rFont val="Verdana"/>
        <family val="2"/>
        <scheme val="major"/>
      </rPr>
      <t xml:space="preserve">" alueelle G22-K54.
</t>
    </r>
    <r>
      <rPr>
        <b/>
        <sz val="11"/>
        <color theme="1"/>
        <rFont val="Verdana"/>
        <family val="2"/>
        <scheme val="major"/>
      </rPr>
      <t xml:space="preserve"> </t>
    </r>
    <r>
      <rPr>
        <sz val="11"/>
        <color theme="1"/>
        <rFont val="Verdana"/>
        <family val="2"/>
        <scheme val="major"/>
      </rPr>
      <t xml:space="preserve">   </t>
    </r>
  </si>
  <si>
    <t>Valitse viisi suurinta kyberturvallisuuteen liittyvää kuluerää tai investointia viimeisten 24 kk ajalta ja syötä summat tuhansissa euroissa (x 1 000 €). Syötä vain ne kuluerät tai investoinnit, joiden pääasiallinen tarkoitus on ollut kyberturvallisuuden parantaminen tai ylläpitäminen. Ei vaikuta arviointiin. 
Sarakkeeseen "Suunniteltu" voit syöttää arvioimasi kulut/investoinnit seuraavien 12 kk aikana. Mikäli summat eivät ole vielä tiedossa, mutta tiedät mihin kategorioihin aiotaan panostaa, voit merkitä kategoriat "x"-merkillä.</t>
  </si>
  <si>
    <t>Select five of the largest investments into cybersecurity from the previous 24 months and report the numbers in thousands of euros (x 1 000 €). Report only the investments where the primary purpose is related to cybersecurity development or maintenance activities. Not needed for analysis.
Please estimate the expected level of cybersecurity investments for the next 12 months and report those figures into the 'Planned' column. Where the exact amounts are not yet known, but investment decisions have been made, please mark those categories with an 'x'.</t>
  </si>
  <si>
    <r>
      <t xml:space="preserve">Tarkoitus: </t>
    </r>
    <r>
      <rPr>
        <sz val="11"/>
        <color theme="1"/>
        <rFont val="Verdana"/>
        <family val="2"/>
        <scheme val="major"/>
      </rPr>
      <t>Muutoshistoria täyttävän organisaation omaan käyttöön</t>
    </r>
  </si>
  <si>
    <t>Muutokset</t>
  </si>
  <si>
    <t xml:space="preserve">Kybermittari version 2.0
October 4th, 2022
Kybermittari is registered trademark. 
</t>
  </si>
  <si>
    <t xml:space="preserve">Cybermätarens version 2.0
04.10.2022
</t>
  </si>
  <si>
    <r>
      <t xml:space="preserve">Versio 2.0
- </t>
    </r>
    <r>
      <rPr>
        <sz val="10"/>
        <color rgb="FF0058B1"/>
        <rFont val="Verdana"/>
        <family val="2"/>
      </rPr>
      <t xml:space="preserve">Päivitetty vastaamaan C2M2 V2.0:n käytäntöjä.
- Lisätty muutamia raportointivaihtoehtoja
- Välilehdille lisätty sarakkeita ja laatikoita, joihin arvioinnin aikana voi tallentaa tai tuoda tietoa
- Migraatio-ominaisuudet V1-V2 siirtoa varten (MIGRATION ja MAPPING)
- Päivitetty Kybermittari - NIST CSF ristiin viittaus
- Muutokset-välilehti muistiinpanoja varten
- Korvattu aiempi tulosten xml-muotoinen vienti uudella, jotta taulukko toimii paremmin myös O365-alustalla
</t>
    </r>
    <r>
      <rPr>
        <b/>
        <sz val="10"/>
        <color rgb="FF0058B1"/>
        <rFont val="Verdana"/>
        <family val="2"/>
      </rPr>
      <t>Puutteita</t>
    </r>
    <r>
      <rPr>
        <sz val="10"/>
        <color rgb="FF0058B1"/>
        <rFont val="Verdana"/>
        <family val="2"/>
      </rPr>
      <t xml:space="preserve">
- Joitain käännöksiä vielä puuttuu
- Kaikkiin raportteihin ei saa mukaan vertailutietoa
</t>
    </r>
    <r>
      <rPr>
        <b/>
        <sz val="10"/>
        <color rgb="FF0058B1"/>
        <rFont val="Verdana"/>
        <family val="2"/>
      </rPr>
      <t>Lisensoinnista</t>
    </r>
    <r>
      <rPr>
        <sz val="10"/>
        <color rgb="FF0058B1"/>
        <rFont val="Verdana"/>
        <family val="2"/>
      </rPr>
      <t xml:space="preserve">
Materiaali on käytettävissä Creative Commons Nimeä 4.0 / CC BY 4.0 lisenssiehtojen mukaisesti noudattaen julkishallinnon suositusta: http://www.jhs-suositukset.fi/suomi/jhs189
Lisenssiteksti https://creativecommons.org/licenses/by/4.0/legalcode.fi
Lisenssitekstin helppolukuinen tiivistelmä https://creativecommons.org/licenses/by/4.0/deed.fi
Pohjana olevan Cybersecurity Capability Maturity Model (C2M2):n lisensoinnista ja käytöstä on lisätietoa saatavilla: https://www.energy.gov/ceser/cybersecurity-capability-maturity-model-c2m2
© 2022 Carnegie Mellon University. This version of C2M2 is being released and maintained
by the U.S. Department of Energy (DOE). The U.S. Government has, at minimum, unlimited
rights to use, modify, reproduce, release, perform, display, or disclose this version the C2M2
or corresponding tools provided by DOE, as well as the right to authorize others, and hereby
authorizes others, to do the same.</t>
    </r>
  </si>
  <si>
    <t xml:space="preserve">Kybermittari versio 2.0, 04.10.2022
https://www.kybermittari.fi 
Palaute ja kysymykset: kybermittari(at)traficom.fi
Materiaali on käytettävissä Creative Commons Nimeä 4.0 / CC BY 4.0 lisenssiehtojen mukaisesti. 
Kybermittari on rekisteröity tavaramerkki (sanamerkki). </t>
  </si>
  <si>
    <t>2.0</t>
  </si>
  <si>
    <t>Yhteyshenkilön sähköposti</t>
  </si>
  <si>
    <t>Contact person, email</t>
  </si>
  <si>
    <t>Kontaktperson, e-post</t>
  </si>
  <si>
    <t>KYBERMITTARI-24</t>
  </si>
  <si>
    <t>Y-tunnus</t>
  </si>
  <si>
    <t>Business ID</t>
  </si>
  <si>
    <t>FO-nummer</t>
  </si>
  <si>
    <t>C_id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</si>
</sst>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154" x14ac:knownFonts="1">
    <font>
      <sz val="11"/>
      <color theme="1"/>
      <name val="Verdana"/>
      <family val="2"/>
      <scheme val="minor"/>
    </font>
    <font>
      <sz val="11"/>
      <color theme="1"/>
      <name val="Verdana"/>
      <family val="2"/>
      <scheme val="minor"/>
    </font>
    <font>
      <sz val="11"/>
      <color theme="0"/>
      <name val="Verdana"/>
      <family val="2"/>
      <scheme val="minor"/>
    </font>
    <font>
      <sz val="11"/>
      <color theme="1"/>
      <name val="Verdana"/>
      <family val="2"/>
    </font>
    <font>
      <b/>
      <sz val="8"/>
      <name val="Verdana"/>
      <family val="2"/>
    </font>
    <font>
      <sz val="9"/>
      <name val="Verdana"/>
      <family val="2"/>
    </font>
    <font>
      <b/>
      <sz val="10"/>
      <name val="Verdana"/>
      <family val="2"/>
    </font>
    <font>
      <b/>
      <sz val="8"/>
      <color rgb="FF1D477C"/>
      <name val="Verdana"/>
      <family val="2"/>
    </font>
    <font>
      <b/>
      <sz val="8"/>
      <color theme="1"/>
      <name val="Verdana"/>
      <family val="2"/>
    </font>
    <font>
      <b/>
      <sz val="11"/>
      <color rgb="FF1D477C"/>
      <name val="Verdana"/>
      <family val="2"/>
    </font>
    <font>
      <sz val="8"/>
      <color theme="1"/>
      <name val="Verdana"/>
      <family val="2"/>
    </font>
    <font>
      <sz val="9"/>
      <color theme="1"/>
      <name val="Verdana"/>
      <family val="2"/>
      <scheme val="minor"/>
    </font>
    <font>
      <b/>
      <sz val="9"/>
      <color theme="1"/>
      <name val="Verdana"/>
      <family val="2"/>
      <scheme val="minor"/>
    </font>
    <font>
      <sz val="9"/>
      <color theme="1"/>
      <name val="Verdana"/>
      <family val="2"/>
    </font>
    <font>
      <b/>
      <sz val="9"/>
      <color theme="0"/>
      <name val="Verdana"/>
      <family val="2"/>
    </font>
    <font>
      <b/>
      <sz val="11"/>
      <name val="Verdana"/>
      <family val="2"/>
    </font>
    <font>
      <b/>
      <sz val="9"/>
      <color rgb="FF1D477C"/>
      <name val="Verdana"/>
      <family val="2"/>
    </font>
    <font>
      <b/>
      <sz val="9"/>
      <name val="Verdana"/>
      <family val="2"/>
    </font>
    <font>
      <b/>
      <sz val="9"/>
      <color theme="1"/>
      <name val="Verdana"/>
      <family val="2"/>
    </font>
    <font>
      <sz val="9"/>
      <color theme="4"/>
      <name val="Verdana"/>
      <family val="2"/>
    </font>
    <font>
      <sz val="9"/>
      <color rgb="FF1D477C"/>
      <name val="Verdana"/>
      <family val="2"/>
    </font>
    <font>
      <sz val="9"/>
      <color rgb="FF00B0F0"/>
      <name val="Verdana"/>
      <family val="2"/>
    </font>
    <font>
      <sz val="11"/>
      <name val="Verdana"/>
      <family val="2"/>
    </font>
    <font>
      <sz val="11"/>
      <color rgb="FF00B0F0"/>
      <name val="Verdana"/>
      <family val="2"/>
    </font>
    <font>
      <sz val="8"/>
      <name val="Verdana"/>
      <family val="2"/>
    </font>
    <font>
      <b/>
      <sz val="12"/>
      <color rgb="FF026273"/>
      <name val="Verdana"/>
      <family val="2"/>
    </font>
    <font>
      <b/>
      <sz val="16"/>
      <name val="Verdana"/>
      <family val="2"/>
    </font>
    <font>
      <sz val="16"/>
      <name val="Verdana"/>
      <family val="2"/>
    </font>
    <font>
      <b/>
      <sz val="9"/>
      <color rgb="FF1D477C"/>
      <name val="Verdana"/>
      <family val="2"/>
      <scheme val="major"/>
    </font>
    <font>
      <sz val="9"/>
      <color theme="1"/>
      <name val="Verdana"/>
      <family val="2"/>
      <scheme val="major"/>
    </font>
    <font>
      <b/>
      <sz val="8"/>
      <color rgb="FF1D477C"/>
      <name val="Verdana"/>
      <family val="2"/>
      <scheme val="major"/>
    </font>
    <font>
      <sz val="8"/>
      <color theme="1"/>
      <name val="Verdana"/>
      <family val="2"/>
      <scheme val="major"/>
    </font>
    <font>
      <b/>
      <sz val="8"/>
      <color theme="1"/>
      <name val="Verdana"/>
      <family val="2"/>
      <scheme val="major"/>
    </font>
    <font>
      <sz val="11"/>
      <name val="Verdana"/>
      <family val="2"/>
      <scheme val="major"/>
    </font>
    <font>
      <sz val="11"/>
      <color theme="1"/>
      <name val="Verdana"/>
      <family val="2"/>
      <scheme val="major"/>
    </font>
    <font>
      <sz val="9"/>
      <color rgb="FF00B0F0"/>
      <name val="Verdana"/>
      <family val="2"/>
      <scheme val="major"/>
    </font>
    <font>
      <b/>
      <sz val="9"/>
      <color theme="1"/>
      <name val="Verdana"/>
      <family val="2"/>
      <scheme val="major"/>
    </font>
    <font>
      <sz val="9"/>
      <color rgb="FF1D477C"/>
      <name val="Verdana"/>
      <family val="2"/>
      <scheme val="major"/>
    </font>
    <font>
      <b/>
      <sz val="9"/>
      <name val="Verdana"/>
      <family val="2"/>
      <scheme val="minor"/>
    </font>
    <font>
      <b/>
      <sz val="11"/>
      <color theme="0"/>
      <name val="Verdana"/>
      <family val="2"/>
    </font>
    <font>
      <b/>
      <sz val="10"/>
      <color theme="1"/>
      <name val="Verdana"/>
      <family val="2"/>
    </font>
    <font>
      <b/>
      <sz val="11"/>
      <color rgb="FF026273"/>
      <name val="Verdana"/>
      <family val="2"/>
    </font>
    <font>
      <b/>
      <sz val="11"/>
      <color theme="1"/>
      <name val="Verdana"/>
      <family val="2"/>
      <scheme val="minor"/>
    </font>
    <font>
      <sz val="12"/>
      <color theme="1"/>
      <name val="Verdana"/>
      <family val="2"/>
      <scheme val="minor"/>
    </font>
    <font>
      <sz val="11"/>
      <name val="Verdana"/>
      <family val="2"/>
      <scheme val="minor"/>
    </font>
    <font>
      <b/>
      <sz val="16"/>
      <color rgb="FF0058B1"/>
      <name val="Verdana"/>
      <family val="2"/>
    </font>
    <font>
      <b/>
      <sz val="8"/>
      <color rgb="FF0058B1"/>
      <name val="Verdana"/>
      <family val="2"/>
    </font>
    <font>
      <b/>
      <sz val="12"/>
      <color rgb="FF0058B1"/>
      <name val="Verdana"/>
      <family val="2"/>
    </font>
    <font>
      <b/>
      <sz val="11"/>
      <color rgb="FF0058B1"/>
      <name val="Verdana"/>
      <family val="2"/>
    </font>
    <font>
      <sz val="9"/>
      <color rgb="FF0058B1"/>
      <name val="Verdana"/>
      <family val="2"/>
    </font>
    <font>
      <b/>
      <sz val="10"/>
      <color rgb="FF0058B1"/>
      <name val="Verdana"/>
      <family val="2"/>
    </font>
    <font>
      <b/>
      <sz val="9"/>
      <color rgb="FF0058B1"/>
      <name val="Verdana"/>
      <family val="2"/>
    </font>
    <font>
      <sz val="10"/>
      <name val="Verdana"/>
      <family val="2"/>
    </font>
    <font>
      <sz val="10"/>
      <color theme="1"/>
      <name val="Verdana"/>
      <family val="2"/>
      <scheme val="minor"/>
    </font>
    <font>
      <b/>
      <sz val="10"/>
      <color theme="1"/>
      <name val="Verdana"/>
      <family val="2"/>
      <scheme val="minor"/>
    </font>
    <font>
      <b/>
      <sz val="9"/>
      <color rgb="FFFF0000"/>
      <name val="Verdana"/>
      <family val="2"/>
    </font>
    <font>
      <u/>
      <sz val="11"/>
      <color theme="10"/>
      <name val="Verdana"/>
      <family val="2"/>
      <scheme val="minor"/>
    </font>
    <font>
      <b/>
      <sz val="14"/>
      <color rgb="FF0058B1"/>
      <name val="Verdana"/>
      <family val="2"/>
      <scheme val="major"/>
    </font>
    <font>
      <sz val="9"/>
      <color rgb="FFFF0000"/>
      <name val="Verdana"/>
      <family val="2"/>
    </font>
    <font>
      <sz val="10"/>
      <color theme="1"/>
      <name val="Verdana"/>
      <family val="2"/>
    </font>
    <font>
      <b/>
      <sz val="18"/>
      <color rgb="FF0058B1"/>
      <name val="Verdana"/>
      <family val="2"/>
      <scheme val="major"/>
    </font>
    <font>
      <b/>
      <sz val="12"/>
      <color rgb="FF0058B1"/>
      <name val="Verdana"/>
      <family val="2"/>
      <scheme val="major"/>
    </font>
    <font>
      <sz val="9"/>
      <color rgb="FF0058B1"/>
      <name val="Verdana"/>
      <family val="2"/>
      <scheme val="major"/>
    </font>
    <font>
      <sz val="11"/>
      <color rgb="FF0058B1"/>
      <name val="Verdana"/>
      <family val="2"/>
      <scheme val="major"/>
    </font>
    <font>
      <sz val="10"/>
      <color rgb="FF0058B1"/>
      <name val="Verdana"/>
      <family val="2"/>
      <scheme val="major"/>
    </font>
    <font>
      <sz val="10"/>
      <color rgb="FF0058B1"/>
      <name val="Verdana"/>
      <family val="2"/>
    </font>
    <font>
      <sz val="9"/>
      <color theme="0"/>
      <name val="Verdana"/>
      <family val="2"/>
      <scheme val="major"/>
    </font>
    <font>
      <sz val="9"/>
      <name val="Verdana"/>
      <family val="2"/>
      <scheme val="minor"/>
    </font>
    <font>
      <sz val="8"/>
      <color theme="0"/>
      <name val="Verdana"/>
      <family val="2"/>
      <scheme val="major"/>
    </font>
    <font>
      <b/>
      <sz val="10"/>
      <name val="Verdana"/>
      <family val="2"/>
      <scheme val="minor"/>
    </font>
    <font>
      <b/>
      <sz val="11"/>
      <color theme="1"/>
      <name val="Verdana"/>
      <family val="2"/>
    </font>
    <font>
      <b/>
      <sz val="10"/>
      <color rgb="FF1D477C"/>
      <name val="Verdana"/>
      <family val="2"/>
    </font>
    <font>
      <sz val="11"/>
      <name val="Calibri"/>
      <family val="2"/>
    </font>
    <font>
      <sz val="11"/>
      <color rgb="FF1D477C"/>
      <name val="Verdana"/>
      <family val="2"/>
    </font>
    <font>
      <sz val="10"/>
      <color theme="4"/>
      <name val="Verdana"/>
      <family val="2"/>
    </font>
    <font>
      <sz val="10"/>
      <color rgb="FF00B0F0"/>
      <name val="Verdana"/>
      <family val="2"/>
    </font>
    <font>
      <b/>
      <sz val="10"/>
      <color rgb="FF00B0F0"/>
      <name val="Verdana"/>
      <family val="2"/>
    </font>
    <font>
      <sz val="10"/>
      <color rgb="FF1D477C"/>
      <name val="Verdana"/>
      <family val="2"/>
    </font>
    <font>
      <sz val="11"/>
      <color rgb="FF0058B1"/>
      <name val="Verdana"/>
      <family val="2"/>
    </font>
    <font>
      <sz val="11"/>
      <color theme="0"/>
      <name val="Verdana"/>
      <family val="2"/>
    </font>
    <font>
      <b/>
      <sz val="11"/>
      <name val="Verdana"/>
      <family val="2"/>
      <scheme val="minor"/>
    </font>
    <font>
      <sz val="11"/>
      <color theme="4"/>
      <name val="Verdana"/>
      <family val="2"/>
    </font>
    <font>
      <b/>
      <sz val="11"/>
      <color rgb="FF00B0F0"/>
      <name val="Verdana"/>
      <family val="2"/>
    </font>
    <font>
      <b/>
      <sz val="16"/>
      <color rgb="FF1D477C"/>
      <name val="Verdana"/>
      <family val="2"/>
    </font>
    <font>
      <sz val="16"/>
      <color theme="1"/>
      <name val="Verdana"/>
      <family val="2"/>
    </font>
    <font>
      <sz val="14"/>
      <color theme="1"/>
      <name val="Verdana"/>
      <family val="2"/>
      <scheme val="major"/>
    </font>
    <font>
      <b/>
      <sz val="24"/>
      <color rgb="FF0058B1"/>
      <name val="Verdana"/>
      <family val="2"/>
      <scheme val="major"/>
    </font>
    <font>
      <sz val="12"/>
      <name val="Verdana"/>
      <family val="2"/>
      <scheme val="major"/>
    </font>
    <font>
      <b/>
      <sz val="12"/>
      <color rgb="FFFF0000"/>
      <name val="Verdana"/>
      <family val="2"/>
    </font>
    <font>
      <sz val="11"/>
      <color theme="0"/>
      <name val="Verdana"/>
      <family val="2"/>
      <scheme val="major"/>
    </font>
    <font>
      <sz val="10"/>
      <name val="Verdana"/>
      <family val="2"/>
      <scheme val="major"/>
    </font>
    <font>
      <sz val="10"/>
      <color theme="1"/>
      <name val="Verdana"/>
      <family val="2"/>
      <scheme val="major"/>
    </font>
    <font>
      <sz val="12"/>
      <color theme="0"/>
      <name val="Verdana"/>
      <family val="2"/>
      <scheme val="major"/>
    </font>
    <font>
      <b/>
      <sz val="8"/>
      <color theme="0"/>
      <name val="Verdana"/>
      <family val="2"/>
    </font>
    <font>
      <b/>
      <i/>
      <sz val="10"/>
      <color rgb="FF0058B1"/>
      <name val="Verdana"/>
      <family val="2"/>
    </font>
    <font>
      <b/>
      <sz val="9"/>
      <color theme="0"/>
      <name val="Verdana"/>
      <family val="2"/>
      <scheme val="minor"/>
    </font>
    <font>
      <b/>
      <sz val="9"/>
      <color rgb="FFFF0000"/>
      <name val="Verdana"/>
      <family val="2"/>
      <scheme val="minor"/>
    </font>
    <font>
      <sz val="9"/>
      <color theme="0"/>
      <name val="Verdana"/>
      <family val="2"/>
    </font>
    <font>
      <sz val="11"/>
      <color rgb="FFFF0000"/>
      <name val="Verdana"/>
      <family val="2"/>
      <scheme val="minor"/>
    </font>
    <font>
      <sz val="9"/>
      <color rgb="FFFF0000"/>
      <name val="Verdana"/>
      <family val="2"/>
      <scheme val="major"/>
    </font>
    <font>
      <sz val="8"/>
      <color rgb="FFFF0000"/>
      <name val="Verdana"/>
      <family val="2"/>
      <scheme val="major"/>
    </font>
    <font>
      <sz val="11"/>
      <color rgb="FFFF0000"/>
      <name val="Verdana"/>
      <family val="2"/>
    </font>
    <font>
      <b/>
      <sz val="12"/>
      <name val="Verdana"/>
      <family val="2"/>
      <scheme val="major"/>
    </font>
    <font>
      <sz val="11"/>
      <color rgb="FF0058B1"/>
      <name val="Verdana"/>
      <family val="2"/>
      <scheme val="minor"/>
    </font>
    <font>
      <b/>
      <sz val="11"/>
      <color rgb="FF0058B1"/>
      <name val="Verdana"/>
      <family val="2"/>
      <scheme val="major"/>
    </font>
    <font>
      <sz val="9"/>
      <color rgb="FF0058B1"/>
      <name val="Verdana"/>
      <family val="2"/>
      <scheme val="minor"/>
    </font>
    <font>
      <sz val="9"/>
      <color rgb="FF1D477C"/>
      <name val="Verdana"/>
      <family val="2"/>
      <scheme val="minor"/>
    </font>
    <font>
      <i/>
      <sz val="9"/>
      <color theme="0"/>
      <name val="Verdana"/>
      <family val="2"/>
    </font>
    <font>
      <i/>
      <sz val="9"/>
      <color theme="0"/>
      <name val="Verdana"/>
      <family val="2"/>
      <scheme val="minor"/>
    </font>
    <font>
      <b/>
      <sz val="16"/>
      <color rgb="FFFF0000"/>
      <name val="Verdana"/>
      <family val="2"/>
    </font>
    <font>
      <sz val="10"/>
      <color theme="0"/>
      <name val="Verdana"/>
      <family val="2"/>
      <scheme val="major"/>
    </font>
    <font>
      <b/>
      <sz val="14"/>
      <color theme="1"/>
      <name val="Verdana"/>
      <family val="2"/>
      <scheme val="minor"/>
    </font>
    <font>
      <sz val="9"/>
      <color rgb="FFFF0000"/>
      <name val="Verdana"/>
      <family val="2"/>
    </font>
    <font>
      <b/>
      <sz val="9"/>
      <color theme="0"/>
      <name val="Verdana"/>
      <family val="2"/>
    </font>
    <font>
      <i/>
      <sz val="11"/>
      <color rgb="FF0058B1"/>
      <name val="Verdana"/>
      <family val="2"/>
    </font>
    <font>
      <b/>
      <sz val="11"/>
      <color rgb="FF0058B1"/>
      <name val="Verdana"/>
      <family val="2"/>
      <scheme val="minor"/>
    </font>
    <font>
      <b/>
      <sz val="10"/>
      <color rgb="FFFFFFFF"/>
      <name val="Times New Roman"/>
      <family val="1"/>
    </font>
    <font>
      <b/>
      <sz val="10"/>
      <color theme="1"/>
      <name val="Times New Roman"/>
      <family val="1"/>
    </font>
    <font>
      <b/>
      <sz val="10"/>
      <color rgb="FFFFFFFF"/>
      <name val="Verdana"/>
      <family val="2"/>
      <scheme val="minor"/>
    </font>
    <font>
      <b/>
      <sz val="10"/>
      <color theme="0"/>
      <name val="Verdana"/>
      <family val="2"/>
      <scheme val="minor"/>
    </font>
    <font>
      <sz val="18"/>
      <color theme="1"/>
      <name val="Verdana"/>
      <family val="2"/>
      <scheme val="minor"/>
    </font>
    <font>
      <b/>
      <sz val="14"/>
      <color rgb="FF1D477C"/>
      <name val="Verdana"/>
      <family val="2"/>
      <scheme val="major"/>
    </font>
    <font>
      <sz val="14"/>
      <color theme="1"/>
      <name val="Verdana"/>
      <family val="2"/>
      <scheme val="minor"/>
    </font>
    <font>
      <b/>
      <sz val="12"/>
      <color theme="1"/>
      <name val="Verdana"/>
      <family val="2"/>
      <scheme val="minor"/>
    </font>
    <font>
      <b/>
      <sz val="12"/>
      <color rgb="FF1D477C"/>
      <name val="Verdana"/>
      <family val="2"/>
      <scheme val="major"/>
    </font>
    <font>
      <sz val="12"/>
      <color theme="1"/>
      <name val="Verdana"/>
      <family val="2"/>
      <scheme val="major"/>
    </font>
    <font>
      <i/>
      <sz val="10"/>
      <color theme="1"/>
      <name val="Verdana"/>
      <family val="2"/>
      <scheme val="minor"/>
    </font>
    <font>
      <b/>
      <sz val="9"/>
      <color rgb="FF0058B1"/>
      <name val="Verdana"/>
      <family val="2"/>
    </font>
    <font>
      <sz val="9"/>
      <color theme="1"/>
      <name val="Verdana"/>
      <family val="2"/>
    </font>
    <font>
      <sz val="10"/>
      <color rgb="FFD6E4F2"/>
      <name val="Verdana"/>
      <family val="2"/>
    </font>
    <font>
      <sz val="12"/>
      <color rgb="FF0058B1"/>
      <name val="Verdana"/>
      <family val="2"/>
      <scheme val="major"/>
    </font>
    <font>
      <b/>
      <sz val="12"/>
      <color theme="0"/>
      <name val="Verdana"/>
      <family val="2"/>
      <scheme val="major"/>
    </font>
    <font>
      <b/>
      <sz val="9"/>
      <color rgb="FFFF0000"/>
      <name val="Verdana"/>
      <family val="2"/>
      <scheme val="major"/>
    </font>
    <font>
      <sz val="9"/>
      <color theme="0"/>
      <name val="Verdana"/>
      <family val="2"/>
      <scheme val="minor"/>
    </font>
    <font>
      <b/>
      <sz val="10"/>
      <color theme="2"/>
      <name val="Verdana"/>
      <family val="2"/>
      <scheme val="major"/>
    </font>
    <font>
      <b/>
      <sz val="12"/>
      <color theme="1"/>
      <name val="Verdana"/>
      <family val="2"/>
      <scheme val="major"/>
    </font>
    <font>
      <b/>
      <sz val="12"/>
      <color rgb="FFFF0000"/>
      <name val="Verdana"/>
      <family val="2"/>
      <scheme val="major"/>
    </font>
    <font>
      <b/>
      <sz val="11"/>
      <color theme="2"/>
      <name val="Verdana"/>
      <family val="2"/>
    </font>
    <font>
      <b/>
      <sz val="9"/>
      <color theme="2"/>
      <name val="Verdana"/>
      <family val="2"/>
      <scheme val="major"/>
    </font>
    <font>
      <b/>
      <sz val="9"/>
      <color rgb="FF0058B1"/>
      <name val="Verdana"/>
      <family val="2"/>
      <scheme val="major"/>
    </font>
    <font>
      <b/>
      <sz val="10"/>
      <color rgb="FF0058B1"/>
      <name val="Verdana"/>
      <family val="2"/>
      <scheme val="major"/>
    </font>
    <font>
      <b/>
      <sz val="11"/>
      <color theme="1"/>
      <name val="Verdana"/>
      <family val="2"/>
      <scheme val="major"/>
    </font>
    <font>
      <i/>
      <sz val="11"/>
      <color theme="1"/>
      <name val="Verdana"/>
      <family val="2"/>
      <scheme val="major"/>
    </font>
    <font>
      <sz val="12"/>
      <color rgb="FF0058B1"/>
      <name val="Verdana"/>
      <family val="2"/>
    </font>
    <font>
      <b/>
      <sz val="11"/>
      <color rgb="FFFF0000"/>
      <name val="Verdana"/>
      <family val="2"/>
      <scheme val="minor"/>
    </font>
    <font>
      <sz val="11"/>
      <color theme="2"/>
      <name val="Verdana"/>
      <family val="2"/>
      <scheme val="minor"/>
    </font>
    <font>
      <b/>
      <sz val="11"/>
      <color theme="2"/>
      <name val="Verdana"/>
      <family val="2"/>
      <scheme val="minor"/>
    </font>
    <font>
      <sz val="12"/>
      <name val="Verdana"/>
      <family val="2"/>
    </font>
    <font>
      <b/>
      <sz val="9"/>
      <color rgb="FFFF0000"/>
      <name val="Verdana"/>
      <family val="2"/>
    </font>
    <font>
      <b/>
      <i/>
      <sz val="11"/>
      <color theme="1"/>
      <name val="Verdana"/>
      <family val="2"/>
      <scheme val="major"/>
    </font>
    <font>
      <b/>
      <sz val="10"/>
      <color theme="2"/>
      <name val="Verdana"/>
      <family val="2"/>
    </font>
    <font>
      <sz val="11"/>
      <color theme="2"/>
      <name val="Verdana"/>
      <family val="2"/>
    </font>
    <font>
      <b/>
      <sz val="10"/>
      <color rgb="FFFF0000"/>
      <name val="Verdana"/>
      <family val="2"/>
    </font>
    <font>
      <sz val="10"/>
      <name val="Verdana"/>
      <family val="2"/>
      <scheme val="minor"/>
    </font>
  </fonts>
  <fills count="28">
    <fill>
      <patternFill patternType="none"/>
    </fill>
    <fill>
      <patternFill patternType="gray125"/>
    </fill>
    <fill>
      <patternFill patternType="solid">
        <fgColor rgb="FFD6E4F2"/>
        <bgColor indexed="64"/>
      </patternFill>
    </fill>
    <fill>
      <patternFill patternType="solid">
        <fgColor rgb="FFFFFF00"/>
        <bgColor indexed="64"/>
      </patternFill>
    </fill>
    <fill>
      <patternFill patternType="solid">
        <fgColor rgb="FFFDECE3"/>
        <bgColor indexed="64"/>
      </patternFill>
    </fill>
    <fill>
      <patternFill patternType="solid">
        <fgColor rgb="FF0058B1"/>
        <bgColor indexed="64"/>
      </patternFill>
    </fill>
    <fill>
      <patternFill patternType="solid">
        <fgColor rgb="FFFF0000"/>
        <bgColor indexed="64"/>
      </patternFill>
    </fill>
    <fill>
      <patternFill patternType="solid">
        <fgColor rgb="FFFFC000"/>
        <bgColor indexed="64"/>
      </patternFill>
    </fill>
    <fill>
      <patternFill patternType="solid">
        <fgColor rgb="FFE7F3FF"/>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rgb="FF0070C0"/>
        <bgColor indexed="64"/>
      </patternFill>
    </fill>
    <fill>
      <patternFill patternType="solid">
        <fgColor rgb="FF7030A0"/>
        <bgColor indexed="64"/>
      </patternFill>
    </fill>
    <fill>
      <patternFill patternType="solid">
        <fgColor rgb="FF00B050"/>
        <bgColor indexed="64"/>
      </patternFill>
    </fill>
    <fill>
      <patternFill patternType="solid">
        <fgColor theme="0"/>
        <bgColor indexed="64"/>
      </patternFill>
    </fill>
    <fill>
      <patternFill patternType="solid">
        <fgColor rgb="FF1272BD"/>
        <bgColor indexed="64"/>
      </patternFill>
    </fill>
    <fill>
      <patternFill patternType="solid">
        <fgColor rgb="FF70359D"/>
        <bgColor indexed="64"/>
      </patternFill>
    </fill>
    <fill>
      <patternFill patternType="solid">
        <fgColor rgb="FFFEFD38"/>
        <bgColor indexed="64"/>
      </patternFill>
    </fill>
    <fill>
      <patternFill patternType="solid">
        <fgColor rgb="FFFC101B"/>
        <bgColor indexed="64"/>
      </patternFill>
    </fill>
    <fill>
      <patternFill patternType="solid">
        <fgColor rgb="FF19AE55"/>
        <bgColor indexed="64"/>
      </patternFill>
    </fill>
    <fill>
      <patternFill patternType="solid">
        <fgColor theme="2"/>
        <bgColor indexed="64"/>
      </patternFill>
    </fill>
    <fill>
      <patternFill patternType="solid">
        <fgColor rgb="FF92D050"/>
        <bgColor indexed="64"/>
      </patternFill>
    </fill>
    <fill>
      <patternFill patternType="solid">
        <fgColor rgb="FFFCEFE0"/>
        <bgColor indexed="64"/>
      </patternFill>
    </fill>
    <fill>
      <patternFill patternType="solid">
        <fgColor rgb="FFFFD85B"/>
        <bgColor indexed="64"/>
      </patternFill>
    </fill>
    <fill>
      <patternFill patternType="solid">
        <fgColor rgb="FFFFFFCC"/>
        <bgColor indexed="64"/>
      </patternFill>
    </fill>
    <fill>
      <patternFill patternType="solid">
        <fgColor theme="0" tint="-0.14999847407452621"/>
        <bgColor indexed="64"/>
      </patternFill>
    </fill>
  </fills>
  <borders count="1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auto="1"/>
      </bottom>
      <diagonal/>
    </border>
    <border>
      <left/>
      <right style="thin">
        <color indexed="64"/>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dotted">
        <color indexed="64"/>
      </bottom>
      <diagonal/>
    </border>
    <border>
      <left style="thin">
        <color auto="1"/>
      </left>
      <right/>
      <top style="dotted">
        <color indexed="64"/>
      </top>
      <bottom style="dotted">
        <color indexed="64"/>
      </bottom>
      <diagonal/>
    </border>
    <border>
      <left/>
      <right/>
      <top style="dotted">
        <color auto="1"/>
      </top>
      <bottom style="dotted">
        <color auto="1"/>
      </bottom>
      <diagonal/>
    </border>
    <border>
      <left/>
      <right/>
      <top style="dotted">
        <color auto="1"/>
      </top>
      <bottom/>
      <diagonal/>
    </border>
    <border>
      <left style="thin">
        <color indexed="64"/>
      </left>
      <right/>
      <top/>
      <bottom style="thin">
        <color indexed="64"/>
      </bottom>
      <diagonal/>
    </border>
    <border>
      <left/>
      <right/>
      <top style="thin">
        <color auto="1"/>
      </top>
      <bottom style="thin">
        <color auto="1"/>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style="dotted">
        <color auto="1"/>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bottom style="dotted">
        <color indexed="64"/>
      </bottom>
      <diagonal/>
    </border>
    <border>
      <left/>
      <right style="dotted">
        <color indexed="64"/>
      </right>
      <top style="thin">
        <color indexed="64"/>
      </top>
      <bottom/>
      <diagonal/>
    </border>
    <border>
      <left style="dotted">
        <color indexed="64"/>
      </left>
      <right style="dotted">
        <color indexed="64"/>
      </right>
      <top style="dotted">
        <color indexed="64"/>
      </top>
      <bottom/>
      <diagonal/>
    </border>
    <border>
      <left style="dotted">
        <color indexed="64"/>
      </left>
      <right style="dotted">
        <color indexed="64"/>
      </right>
      <top style="thin">
        <color indexed="64"/>
      </top>
      <bottom style="dotted">
        <color indexed="64"/>
      </bottom>
      <diagonal/>
    </border>
    <border>
      <left/>
      <right/>
      <top/>
      <bottom style="thin">
        <color rgb="FF0058B1"/>
      </bottom>
      <diagonal/>
    </border>
    <border>
      <left/>
      <right/>
      <top/>
      <bottom style="medium">
        <color rgb="FF0058B1"/>
      </bottom>
      <diagonal/>
    </border>
    <border>
      <left/>
      <right style="medium">
        <color indexed="64"/>
      </right>
      <top style="medium">
        <color indexed="64"/>
      </top>
      <bottom style="medium">
        <color theme="1"/>
      </bottom>
      <diagonal/>
    </border>
    <border>
      <left/>
      <right/>
      <top style="thin">
        <color rgb="FF0058B1"/>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dotted">
        <color indexed="64"/>
      </right>
      <top style="dotted">
        <color indexed="64"/>
      </top>
      <bottom style="dotted">
        <color indexed="64"/>
      </bottom>
      <diagonal/>
    </border>
    <border>
      <left/>
      <right/>
      <top/>
      <bottom style="medium">
        <color rgb="FF026273"/>
      </bottom>
      <diagonal/>
    </border>
    <border>
      <left/>
      <right/>
      <top/>
      <bottom style="thin">
        <color theme="1"/>
      </bottom>
      <diagonal/>
    </border>
    <border>
      <left/>
      <right/>
      <top style="medium">
        <color rgb="FF0058B1"/>
      </top>
      <bottom style="thin">
        <color auto="1"/>
      </bottom>
      <diagonal/>
    </border>
    <border>
      <left style="thin">
        <color indexed="64"/>
      </left>
      <right style="medium">
        <color indexed="64"/>
      </right>
      <top style="thin">
        <color indexed="64"/>
      </top>
      <bottom style="medium">
        <color theme="1"/>
      </bottom>
      <diagonal/>
    </border>
    <border>
      <left/>
      <right style="medium">
        <color indexed="64"/>
      </right>
      <top style="thin">
        <color indexed="64"/>
      </top>
      <bottom style="medium">
        <color theme="1"/>
      </bottom>
      <diagonal/>
    </border>
    <border>
      <left/>
      <right style="thin">
        <color indexed="64"/>
      </right>
      <top style="thin">
        <color indexed="64"/>
      </top>
      <bottom style="medium">
        <color theme="1"/>
      </bottom>
      <diagonal/>
    </border>
    <border>
      <left/>
      <right/>
      <top style="medium">
        <color indexed="64"/>
      </top>
      <bottom style="medium">
        <color theme="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thin">
        <color auto="1"/>
      </left>
      <right/>
      <top style="thin">
        <color indexed="64"/>
      </top>
      <bottom style="dotted">
        <color indexed="64"/>
      </bottom>
      <diagonal/>
    </border>
    <border>
      <left style="thin">
        <color auto="1"/>
      </left>
      <right/>
      <top style="dotted">
        <color indexed="64"/>
      </top>
      <bottom/>
      <diagonal/>
    </border>
    <border>
      <left style="thin">
        <color auto="1"/>
      </left>
      <right/>
      <top style="dotted">
        <color indexed="64"/>
      </top>
      <bottom style="thin">
        <color indexed="64"/>
      </bottom>
      <diagonal/>
    </border>
    <border>
      <left/>
      <right/>
      <top style="dotted">
        <color indexed="64"/>
      </top>
      <bottom style="thin">
        <color indexed="64"/>
      </bottom>
      <diagonal/>
    </border>
    <border>
      <left style="thin">
        <color auto="1"/>
      </left>
      <right/>
      <top/>
      <bottom style="dotted">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medium">
        <color rgb="FFFF0000"/>
      </bottom>
      <diagonal/>
    </border>
    <border>
      <left style="dotted">
        <color indexed="64"/>
      </left>
      <right style="dotted">
        <color indexed="64"/>
      </right>
      <top style="dotted">
        <color indexed="64"/>
      </top>
      <bottom style="thin">
        <color indexed="64"/>
      </bottom>
      <diagonal/>
    </border>
    <border>
      <left/>
      <right style="dotted">
        <color auto="1"/>
      </right>
      <top style="thin">
        <color auto="1"/>
      </top>
      <bottom style="dotted">
        <color auto="1"/>
      </bottom>
      <diagonal/>
    </border>
    <border>
      <left style="dotted">
        <color auto="1"/>
      </left>
      <right style="thin">
        <color indexed="64"/>
      </right>
      <top style="thin">
        <color auto="1"/>
      </top>
      <bottom style="dotted">
        <color indexed="64"/>
      </bottom>
      <diagonal/>
    </border>
    <border>
      <left style="dotted">
        <color auto="1"/>
      </left>
      <right style="thin">
        <color indexed="64"/>
      </right>
      <top style="dotted">
        <color indexed="64"/>
      </top>
      <bottom style="dotted">
        <color indexed="64"/>
      </bottom>
      <diagonal/>
    </border>
    <border>
      <left/>
      <right style="dotted">
        <color auto="1"/>
      </right>
      <top style="dotted">
        <color indexed="64"/>
      </top>
      <bottom style="thin">
        <color indexed="64"/>
      </bottom>
      <diagonal/>
    </border>
    <border>
      <left style="dotted">
        <color auto="1"/>
      </left>
      <right style="thin">
        <color indexed="64"/>
      </right>
      <top style="dotted">
        <color indexed="64"/>
      </top>
      <bottom style="thin">
        <color indexed="64"/>
      </bottom>
      <diagonal/>
    </border>
    <border>
      <left/>
      <right style="dotted">
        <color auto="1"/>
      </right>
      <top style="thin">
        <color auto="1"/>
      </top>
      <bottom style="thin">
        <color indexed="64"/>
      </bottom>
      <diagonal/>
    </border>
    <border>
      <left style="dotted">
        <color auto="1"/>
      </left>
      <right style="dotted">
        <color auto="1"/>
      </right>
      <top style="thin">
        <color auto="1"/>
      </top>
      <bottom style="thin">
        <color indexed="64"/>
      </bottom>
      <diagonal/>
    </border>
    <border>
      <left style="dotted">
        <color auto="1"/>
      </left>
      <right style="thin">
        <color indexed="64"/>
      </right>
      <top style="thin">
        <color indexed="64"/>
      </top>
      <bottom style="thin">
        <color indexed="64"/>
      </bottom>
      <diagonal/>
    </border>
    <border>
      <left style="thin">
        <color auto="1"/>
      </left>
      <right style="dotted">
        <color auto="1"/>
      </right>
      <top style="thin">
        <color auto="1"/>
      </top>
      <bottom style="thin">
        <color indexed="64"/>
      </bottom>
      <diagonal/>
    </border>
    <border>
      <left style="thin">
        <color auto="1"/>
      </left>
      <right style="dotted">
        <color auto="1"/>
      </right>
      <top style="thin">
        <color auto="1"/>
      </top>
      <bottom style="dotted">
        <color auto="1"/>
      </bottom>
      <diagonal/>
    </border>
    <border>
      <left style="thin">
        <color auto="1"/>
      </left>
      <right style="dotted">
        <color auto="1"/>
      </right>
      <top style="dotted">
        <color indexed="64"/>
      </top>
      <bottom style="thin">
        <color indexed="64"/>
      </bottom>
      <diagonal/>
    </border>
    <border>
      <left style="thin">
        <color auto="1"/>
      </left>
      <right style="dotted">
        <color auto="1"/>
      </right>
      <top style="dotted">
        <color indexed="64"/>
      </top>
      <bottom style="dotted">
        <color indexed="64"/>
      </bottom>
      <diagonal/>
    </border>
    <border>
      <left/>
      <right style="hair">
        <color indexed="64"/>
      </right>
      <top style="thin">
        <color indexed="64"/>
      </top>
      <bottom style="thin">
        <color indexed="64"/>
      </bottom>
      <diagonal/>
    </border>
    <border>
      <left style="hair">
        <color indexed="64"/>
      </left>
      <right style="dotted">
        <color auto="1"/>
      </right>
      <top style="thin">
        <color indexed="64"/>
      </top>
      <bottom style="thin">
        <color indexed="64"/>
      </bottom>
      <diagonal/>
    </border>
    <border>
      <left/>
      <right style="hair">
        <color indexed="64"/>
      </right>
      <top style="thin">
        <color indexed="64"/>
      </top>
      <bottom style="dotted">
        <color indexed="64"/>
      </bottom>
      <diagonal/>
    </border>
    <border>
      <left style="hair">
        <color indexed="64"/>
      </left>
      <right style="dotted">
        <color auto="1"/>
      </right>
      <top style="thin">
        <color auto="1"/>
      </top>
      <bottom style="dotted">
        <color auto="1"/>
      </bottom>
      <diagonal/>
    </border>
    <border>
      <left/>
      <right style="hair">
        <color indexed="64"/>
      </right>
      <top style="dotted">
        <color indexed="64"/>
      </top>
      <bottom style="thin">
        <color indexed="64"/>
      </bottom>
      <diagonal/>
    </border>
    <border>
      <left style="hair">
        <color indexed="64"/>
      </left>
      <right style="dotted">
        <color auto="1"/>
      </right>
      <top style="dotted">
        <color indexed="64"/>
      </top>
      <bottom style="thin">
        <color indexed="64"/>
      </bottom>
      <diagonal/>
    </border>
    <border>
      <left/>
      <right style="hair">
        <color indexed="64"/>
      </right>
      <top style="dotted">
        <color indexed="64"/>
      </top>
      <bottom style="dotted">
        <color indexed="64"/>
      </bottom>
      <diagonal/>
    </border>
    <border>
      <left style="hair">
        <color indexed="64"/>
      </left>
      <right style="dotted">
        <color auto="1"/>
      </right>
      <top style="dotted">
        <color indexed="64"/>
      </top>
      <bottom style="dotted">
        <color indexed="64"/>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right style="dotted">
        <color indexed="64"/>
      </right>
      <top/>
      <bottom style="dotted">
        <color indexed="64"/>
      </bottom>
      <diagonal/>
    </border>
    <border>
      <left style="dotted">
        <color indexed="64"/>
      </left>
      <right style="thin">
        <color indexed="64"/>
      </right>
      <top/>
      <bottom style="dotted">
        <color indexed="64"/>
      </bottom>
      <diagonal/>
    </border>
    <border>
      <left/>
      <right style="dotted">
        <color auto="1"/>
      </right>
      <top/>
      <bottom style="thin">
        <color auto="1"/>
      </bottom>
      <diagonal/>
    </border>
    <border>
      <left style="dotted">
        <color auto="1"/>
      </left>
      <right style="thin">
        <color indexed="64"/>
      </right>
      <top style="dotted">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dotted">
        <color indexed="64"/>
      </bottom>
      <diagonal/>
    </border>
    <border>
      <left style="thin">
        <color indexed="64"/>
      </left>
      <right style="hair">
        <color indexed="64"/>
      </right>
      <top style="dotted">
        <color indexed="64"/>
      </top>
      <bottom style="thin">
        <color indexed="64"/>
      </bottom>
      <diagonal/>
    </border>
    <border>
      <left style="thin">
        <color indexed="64"/>
      </left>
      <right style="hair">
        <color indexed="64"/>
      </right>
      <top style="dotted">
        <color indexed="64"/>
      </top>
      <bottom style="dotted">
        <color indexed="64"/>
      </bottom>
      <diagonal/>
    </border>
    <border>
      <left style="thin">
        <color indexed="64"/>
      </left>
      <right style="dotted">
        <color auto="1"/>
      </right>
      <top style="thin">
        <color indexed="64"/>
      </top>
      <bottom/>
      <diagonal/>
    </border>
    <border>
      <left style="thin">
        <color indexed="64"/>
      </left>
      <right style="dotted">
        <color auto="1"/>
      </right>
      <top/>
      <bottom style="dotted">
        <color indexed="64"/>
      </bottom>
      <diagonal/>
    </border>
    <border>
      <left style="thin">
        <color indexed="64"/>
      </left>
      <right style="dotted">
        <color auto="1"/>
      </right>
      <top/>
      <bottom style="thin">
        <color auto="1"/>
      </bottom>
      <diagonal/>
    </border>
    <border>
      <left/>
      <right style="dotted">
        <color indexed="64"/>
      </right>
      <top style="dotted">
        <color indexed="64"/>
      </top>
      <bottom/>
      <diagonal/>
    </border>
    <border>
      <left/>
      <right/>
      <top style="medium">
        <color rgb="FF026273"/>
      </top>
      <bottom/>
      <diagonal/>
    </border>
    <border>
      <left style="thin">
        <color indexed="64"/>
      </left>
      <right style="dotted">
        <color auto="1"/>
      </right>
      <top style="dotted">
        <color indexed="64"/>
      </top>
      <bottom/>
      <diagonal/>
    </border>
    <border>
      <left style="dotted">
        <color indexed="64"/>
      </left>
      <right style="dotted">
        <color indexed="64"/>
      </right>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right/>
      <top style="medium">
        <color indexed="64"/>
      </top>
      <bottom style="thin">
        <color auto="1"/>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thin">
        <color indexed="64"/>
      </bottom>
      <diagonal/>
    </border>
    <border>
      <left style="dashed">
        <color indexed="64"/>
      </left>
      <right style="thin">
        <color indexed="64"/>
      </right>
      <top/>
      <bottom/>
      <diagonal/>
    </border>
    <border>
      <left style="dashed">
        <color auto="1"/>
      </left>
      <right style="medium">
        <color indexed="64"/>
      </right>
      <top/>
      <bottom/>
      <diagonal/>
    </border>
    <border>
      <left style="medium">
        <color indexed="64"/>
      </left>
      <right/>
      <top style="thin">
        <color indexed="64"/>
      </top>
      <bottom/>
      <diagonal/>
    </border>
    <border>
      <left style="dashed">
        <color indexed="64"/>
      </left>
      <right style="thin">
        <color indexed="64"/>
      </right>
      <top style="thin">
        <color indexed="64"/>
      </top>
      <bottom/>
      <diagonal/>
    </border>
    <border>
      <left style="dashed">
        <color auto="1"/>
      </left>
      <right style="medium">
        <color indexed="64"/>
      </right>
      <top style="thin">
        <color indexed="64"/>
      </top>
      <bottom/>
      <diagonal/>
    </border>
    <border>
      <left style="medium">
        <color auto="1"/>
      </left>
      <right/>
      <top/>
      <bottom style="thin">
        <color indexed="64"/>
      </bottom>
      <diagonal/>
    </border>
    <border>
      <left/>
      <right style="medium">
        <color auto="1"/>
      </right>
      <top/>
      <bottom style="thin">
        <color indexed="64"/>
      </bottom>
      <diagonal/>
    </border>
    <border>
      <left style="dashed">
        <color indexed="64"/>
      </left>
      <right style="thin">
        <color indexed="64"/>
      </right>
      <top/>
      <bottom style="thin">
        <color indexed="64"/>
      </bottom>
      <diagonal/>
    </border>
    <border>
      <left style="dashed">
        <color auto="1"/>
      </left>
      <right style="medium">
        <color indexed="64"/>
      </right>
      <top/>
      <bottom style="thin">
        <color indexed="64"/>
      </bottom>
      <diagonal/>
    </border>
    <border>
      <left style="dashed">
        <color indexed="64"/>
      </left>
      <right style="thin">
        <color indexed="64"/>
      </right>
      <top/>
      <bottom style="medium">
        <color indexed="64"/>
      </bottom>
      <diagonal/>
    </border>
    <border>
      <left style="dashed">
        <color auto="1"/>
      </left>
      <right style="medium">
        <color indexed="64"/>
      </right>
      <top/>
      <bottom style="medium">
        <color indexed="64"/>
      </bottom>
      <diagonal/>
    </border>
    <border>
      <left style="thin">
        <color theme="0"/>
      </left>
      <right style="thin">
        <color theme="0"/>
      </right>
      <top style="thin">
        <color theme="0"/>
      </top>
      <bottom style="thin">
        <color theme="0"/>
      </bottom>
      <diagonal/>
    </border>
    <border>
      <left/>
      <right style="thin">
        <color theme="4"/>
      </right>
      <top/>
      <bottom/>
      <diagonal/>
    </border>
    <border>
      <left style="thin">
        <color auto="1"/>
      </left>
      <right style="thin">
        <color auto="1"/>
      </right>
      <top/>
      <bottom style="thin">
        <color theme="1"/>
      </bottom>
      <diagonal/>
    </border>
    <border>
      <left style="thin">
        <color auto="1"/>
      </left>
      <right style="thin">
        <color auto="1"/>
      </right>
      <top style="medium">
        <color indexed="64"/>
      </top>
      <bottom/>
      <diagonal/>
    </border>
    <border>
      <left style="thin">
        <color indexed="64"/>
      </left>
      <right/>
      <top style="thin">
        <color theme="1"/>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style="thin">
        <color theme="1"/>
      </top>
      <bottom/>
      <diagonal/>
    </border>
    <border>
      <left style="thin">
        <color theme="1"/>
      </left>
      <right style="thin">
        <color theme="1"/>
      </right>
      <top style="medium">
        <color theme="1"/>
      </top>
      <bottom/>
      <diagonal/>
    </border>
    <border>
      <left style="thin">
        <color theme="1"/>
      </left>
      <right style="thin">
        <color theme="1"/>
      </right>
      <top/>
      <bottom/>
      <diagonal/>
    </border>
    <border>
      <left style="thin">
        <color theme="1"/>
      </left>
      <right style="thin">
        <color theme="1"/>
      </right>
      <top/>
      <bottom style="thin">
        <color theme="1"/>
      </bottom>
      <diagonal/>
    </border>
    <border>
      <left/>
      <right/>
      <top style="medium">
        <color rgb="FF0058B1"/>
      </top>
      <bottom/>
      <diagonal/>
    </border>
  </borders>
  <cellStyleXfs count="4">
    <xf numFmtId="0" fontId="0" fillId="0" borderId="0"/>
    <xf numFmtId="9" fontId="1" fillId="0" borderId="0" applyFont="0" applyFill="0" applyBorder="0" applyAlignment="0" applyProtection="0"/>
    <xf numFmtId="0" fontId="43" fillId="0" borderId="0"/>
    <xf numFmtId="0" fontId="56" fillId="0" borderId="0" applyNumberFormat="0" applyFill="0" applyBorder="0" applyAlignment="0" applyProtection="0"/>
  </cellStyleXfs>
  <cellXfs count="1310">
    <xf numFmtId="0" fontId="0" fillId="0" borderId="0" xfId="0"/>
    <xf numFmtId="0" fontId="0" fillId="0" borderId="0" xfId="0" applyAlignment="1">
      <alignment horizontal="left"/>
    </xf>
    <xf numFmtId="0" fontId="13" fillId="0" borderId="0" xfId="0" applyFont="1" applyAlignment="1">
      <alignment vertical="top" wrapText="1"/>
    </xf>
    <xf numFmtId="0" fontId="28" fillId="2" borderId="0" xfId="0" applyFont="1" applyFill="1" applyAlignment="1">
      <alignment horizontal="left" vertical="center"/>
    </xf>
    <xf numFmtId="0" fontId="28" fillId="2" borderId="0" xfId="0" applyFont="1" applyFill="1" applyAlignment="1">
      <alignment horizontal="center" vertical="center"/>
    </xf>
    <xf numFmtId="0" fontId="29" fillId="0" borderId="0" xfId="0" applyFont="1" applyAlignment="1">
      <alignment vertical="top" wrapText="1"/>
    </xf>
    <xf numFmtId="0" fontId="30" fillId="2" borderId="0" xfId="0" applyFont="1" applyFill="1" applyAlignment="1">
      <alignment horizontal="left"/>
    </xf>
    <xf numFmtId="0" fontId="31" fillId="0" borderId="1" xfId="0" applyFont="1" applyBorder="1" applyAlignment="1">
      <alignment wrapText="1"/>
    </xf>
    <xf numFmtId="0" fontId="32" fillId="0" borderId="3" xfId="0" applyFont="1" applyFill="1" applyBorder="1" applyAlignment="1">
      <alignment horizontal="left" wrapText="1"/>
    </xf>
    <xf numFmtId="0" fontId="31" fillId="0" borderId="0" xfId="0" applyFont="1" applyAlignment="1">
      <alignment wrapText="1"/>
    </xf>
    <xf numFmtId="0" fontId="29" fillId="0" borderId="4" xfId="0" applyFont="1" applyBorder="1" applyAlignment="1">
      <alignment vertical="top" wrapText="1"/>
    </xf>
    <xf numFmtId="0" fontId="29" fillId="0" borderId="6" xfId="0" applyFont="1" applyFill="1" applyBorder="1" applyAlignment="1">
      <alignment horizontal="left" vertical="top" wrapText="1"/>
    </xf>
    <xf numFmtId="0" fontId="35" fillId="2" borderId="0" xfId="0" applyFont="1" applyFill="1" applyBorder="1" applyAlignment="1" applyProtection="1">
      <alignment horizontal="left" vertical="center" wrapText="1"/>
      <protection locked="0"/>
    </xf>
    <xf numFmtId="0" fontId="29" fillId="0" borderId="0" xfId="0" applyFont="1" applyAlignment="1">
      <alignment horizontal="center" vertical="top" wrapText="1"/>
    </xf>
    <xf numFmtId="0" fontId="36" fillId="0" borderId="14" xfId="0" applyFont="1" applyBorder="1" applyAlignment="1">
      <alignment horizontal="center" vertical="center" wrapText="1"/>
    </xf>
    <xf numFmtId="0" fontId="29" fillId="0" borderId="16" xfId="0" applyFont="1" applyBorder="1" applyAlignment="1">
      <alignment horizontal="center" vertical="top" wrapText="1"/>
    </xf>
    <xf numFmtId="0" fontId="35" fillId="2" borderId="0" xfId="0" applyFont="1" applyFill="1" applyBorder="1" applyAlignment="1" applyProtection="1">
      <alignment horizontal="center" vertical="center" wrapText="1"/>
      <protection locked="0"/>
    </xf>
    <xf numFmtId="0" fontId="29" fillId="0" borderId="0" xfId="0" applyFont="1" applyAlignment="1">
      <alignment vertical="center" wrapText="1"/>
    </xf>
    <xf numFmtId="0" fontId="36" fillId="0" borderId="5" xfId="0" applyFont="1" applyBorder="1" applyAlignment="1">
      <alignment horizontal="center" vertical="center" wrapText="1"/>
    </xf>
    <xf numFmtId="0" fontId="29" fillId="0" borderId="5" xfId="0" applyFont="1" applyBorder="1" applyAlignment="1">
      <alignment vertical="top" wrapText="1"/>
    </xf>
    <xf numFmtId="0" fontId="0" fillId="0" borderId="0" xfId="0" applyFont="1" applyAlignment="1">
      <alignment horizontal="center"/>
    </xf>
    <xf numFmtId="9" fontId="11" fillId="0" borderId="0" xfId="1" applyFont="1" applyAlignment="1">
      <alignment horizontal="center"/>
    </xf>
    <xf numFmtId="0" fontId="11" fillId="0" borderId="0" xfId="0" applyFont="1" applyAlignment="1">
      <alignment horizontal="center"/>
    </xf>
    <xf numFmtId="0" fontId="13" fillId="0" borderId="0" xfId="0" applyFont="1" applyAlignment="1">
      <alignment wrapText="1"/>
    </xf>
    <xf numFmtId="0" fontId="42" fillId="0" borderId="0" xfId="0" applyFont="1"/>
    <xf numFmtId="0" fontId="11" fillId="0" borderId="0" xfId="0" applyFont="1"/>
    <xf numFmtId="0" fontId="37" fillId="2" borderId="0" xfId="0" applyFont="1" applyFill="1" applyAlignment="1">
      <alignment horizontal="left" vertical="center"/>
    </xf>
    <xf numFmtId="0" fontId="34" fillId="0" borderId="4" xfId="0" applyFont="1" applyBorder="1" applyAlignment="1">
      <alignment vertical="top" wrapText="1"/>
    </xf>
    <xf numFmtId="0" fontId="33" fillId="0" borderId="0" xfId="0" applyFont="1" applyFill="1" applyBorder="1" applyAlignment="1">
      <alignment vertical="center"/>
    </xf>
    <xf numFmtId="0" fontId="34" fillId="0" borderId="6" xfId="0" applyFont="1" applyFill="1" applyBorder="1" applyAlignment="1">
      <alignment horizontal="left" vertical="top" wrapText="1"/>
    </xf>
    <xf numFmtId="0" fontId="34" fillId="0" borderId="4" xfId="0" applyFont="1" applyBorder="1" applyAlignment="1">
      <alignment vertical="center"/>
    </xf>
    <xf numFmtId="0" fontId="34" fillId="0" borderId="6" xfId="0" applyFont="1" applyFill="1" applyBorder="1" applyAlignment="1">
      <alignment horizontal="left" vertical="center"/>
    </xf>
    <xf numFmtId="0" fontId="60" fillId="0" borderId="0" xfId="0" applyFont="1" applyFill="1" applyBorder="1" applyAlignment="1">
      <alignment horizontal="center"/>
    </xf>
    <xf numFmtId="0" fontId="62" fillId="0" borderId="0" xfId="0" applyFont="1" applyBorder="1" applyAlignment="1">
      <alignment horizontal="center" vertical="center"/>
    </xf>
    <xf numFmtId="0" fontId="29" fillId="0" borderId="0" xfId="0" applyFont="1" applyBorder="1" applyAlignment="1">
      <alignment vertical="top" wrapText="1"/>
    </xf>
    <xf numFmtId="0" fontId="31" fillId="0" borderId="2" xfId="0" applyFont="1" applyBorder="1" applyAlignment="1">
      <alignment wrapText="1"/>
    </xf>
    <xf numFmtId="0" fontId="34" fillId="0" borderId="0" xfId="0" applyFont="1" applyBorder="1" applyAlignment="1">
      <alignment vertical="top" wrapText="1"/>
    </xf>
    <xf numFmtId="0" fontId="34" fillId="0" borderId="0" xfId="0" applyFont="1" applyBorder="1" applyAlignment="1">
      <alignment vertical="center"/>
    </xf>
    <xf numFmtId="0" fontId="29" fillId="0" borderId="4" xfId="0" applyFont="1" applyBorder="1" applyAlignment="1">
      <alignment vertical="center" wrapText="1"/>
    </xf>
    <xf numFmtId="0" fontId="85" fillId="0" borderId="0" xfId="0" applyFont="1" applyBorder="1" applyAlignment="1">
      <alignment vertical="center" wrapText="1"/>
    </xf>
    <xf numFmtId="0" fontId="29" fillId="0" borderId="6" xfId="0" applyFont="1" applyFill="1" applyBorder="1" applyAlignment="1">
      <alignment horizontal="left" vertical="center" wrapText="1"/>
    </xf>
    <xf numFmtId="0" fontId="33" fillId="0" borderId="0" xfId="0" applyFont="1" applyFill="1" applyBorder="1" applyAlignment="1"/>
    <xf numFmtId="0" fontId="35" fillId="0" borderId="0" xfId="0" applyFont="1" applyFill="1" applyBorder="1" applyAlignment="1" applyProtection="1">
      <alignment horizontal="left" vertical="center" wrapText="1"/>
      <protection locked="0"/>
    </xf>
    <xf numFmtId="0" fontId="28" fillId="0" borderId="0" xfId="0" applyFont="1" applyFill="1" applyBorder="1" applyAlignment="1">
      <alignment horizontal="left" vertical="center"/>
    </xf>
    <xf numFmtId="0" fontId="30" fillId="0" borderId="0" xfId="0" applyFont="1" applyFill="1" applyBorder="1" applyAlignment="1">
      <alignment horizontal="left"/>
    </xf>
    <xf numFmtId="0" fontId="37" fillId="0" borderId="0" xfId="0" applyFont="1" applyFill="1" applyBorder="1" applyAlignment="1">
      <alignment horizontal="left" vertical="center"/>
    </xf>
    <xf numFmtId="0" fontId="29" fillId="0" borderId="0" xfId="0" applyFont="1" applyFill="1" applyBorder="1" applyAlignment="1">
      <alignment horizontal="center" vertical="top" wrapText="1"/>
    </xf>
    <xf numFmtId="0" fontId="29" fillId="0" borderId="0" xfId="0" applyFont="1" applyAlignment="1">
      <alignment horizontal="center" vertical="center" wrapText="1"/>
    </xf>
    <xf numFmtId="0" fontId="60" fillId="0" borderId="0" xfId="0" applyFont="1" applyFill="1" applyBorder="1" applyAlignment="1">
      <alignment horizontal="center" vertical="center"/>
    </xf>
    <xf numFmtId="0" fontId="31" fillId="0" borderId="2" xfId="0" applyFont="1" applyBorder="1" applyAlignment="1">
      <alignment horizontal="center" vertical="center" wrapText="1"/>
    </xf>
    <xf numFmtId="0" fontId="29" fillId="0" borderId="5" xfId="0" applyFont="1" applyBorder="1" applyAlignment="1">
      <alignment horizontal="center" vertical="center" wrapText="1"/>
    </xf>
    <xf numFmtId="0" fontId="86" fillId="0" borderId="0" xfId="0" applyFont="1" applyFill="1" applyBorder="1" applyAlignment="1">
      <alignment horizontal="center" vertical="center"/>
    </xf>
    <xf numFmtId="0" fontId="57" fillId="0" borderId="0" xfId="0" applyFont="1" applyFill="1" applyBorder="1" applyAlignment="1">
      <alignment horizontal="center" vertical="center"/>
    </xf>
    <xf numFmtId="0" fontId="87" fillId="0" borderId="0" xfId="0" applyFont="1" applyFill="1" applyBorder="1" applyAlignment="1">
      <alignment horizontal="center" vertical="center"/>
    </xf>
    <xf numFmtId="0" fontId="34" fillId="0" borderId="6" xfId="0" applyFont="1" applyFill="1" applyBorder="1" applyAlignment="1">
      <alignment horizontal="left" vertical="center" wrapText="1"/>
    </xf>
    <xf numFmtId="0" fontId="29" fillId="0" borderId="0" xfId="0" applyFont="1" applyFill="1" applyAlignment="1">
      <alignment vertical="top" wrapText="1"/>
    </xf>
    <xf numFmtId="0" fontId="29" fillId="0" borderId="0" xfId="0" applyFont="1" applyFill="1" applyAlignment="1">
      <alignment horizontal="center" vertical="center"/>
    </xf>
    <xf numFmtId="0" fontId="29" fillId="0" borderId="0" xfId="0" applyFont="1" applyFill="1" applyAlignment="1">
      <alignment horizontal="left" vertical="center"/>
    </xf>
    <xf numFmtId="0" fontId="89" fillId="0" borderId="0" xfId="0" applyFont="1" applyFill="1" applyBorder="1" applyAlignment="1">
      <alignment horizontal="center" vertical="center"/>
    </xf>
    <xf numFmtId="0" fontId="89" fillId="0" borderId="4" xfId="0" applyFont="1" applyFill="1" applyBorder="1" applyAlignment="1">
      <alignment horizontal="center" vertical="top" wrapText="1"/>
    </xf>
    <xf numFmtId="0" fontId="68" fillId="0" borderId="0" xfId="0" applyFont="1" applyFill="1" applyAlignment="1">
      <alignment horizontal="left" vertical="top"/>
    </xf>
    <xf numFmtId="0" fontId="90" fillId="0" borderId="0" xfId="0" applyFont="1" applyFill="1" applyBorder="1" applyAlignment="1">
      <alignment horizontal="left" vertical="center"/>
    </xf>
    <xf numFmtId="0" fontId="91" fillId="0" borderId="0" xfId="0" applyFont="1" applyFill="1" applyAlignment="1">
      <alignment horizontal="center" vertical="center"/>
    </xf>
    <xf numFmtId="0" fontId="64" fillId="0" borderId="0" xfId="0" applyFont="1" applyAlignment="1">
      <alignment vertical="top" wrapText="1"/>
    </xf>
    <xf numFmtId="0" fontId="64" fillId="0" borderId="0" xfId="0" applyFont="1" applyAlignment="1">
      <alignment horizontal="left" vertical="center" wrapText="1"/>
    </xf>
    <xf numFmtId="0" fontId="64" fillId="0" borderId="0" xfId="0" applyFont="1" applyAlignment="1">
      <alignment horizontal="left" vertical="center"/>
    </xf>
    <xf numFmtId="0" fontId="64" fillId="0" borderId="0" xfId="0" applyFont="1" applyAlignment="1">
      <alignment horizontal="left" vertical="center" wrapText="1" indent="11"/>
    </xf>
    <xf numFmtId="0" fontId="64" fillId="0" borderId="0" xfId="0" applyFont="1" applyAlignment="1">
      <alignment horizontal="left" vertical="center" wrapText="1" indent="15"/>
    </xf>
    <xf numFmtId="0" fontId="92" fillId="0" borderId="0" xfId="0" applyFont="1" applyFill="1" applyBorder="1" applyAlignment="1">
      <alignment horizontal="right" vertical="center"/>
    </xf>
    <xf numFmtId="0" fontId="60" fillId="0" borderId="0" xfId="0" applyFont="1" applyAlignment="1">
      <alignment horizontal="left" vertical="center"/>
    </xf>
    <xf numFmtId="0" fontId="42" fillId="0" borderId="0" xfId="0" applyFont="1" applyAlignment="1">
      <alignment horizontal="center"/>
    </xf>
    <xf numFmtId="0" fontId="86" fillId="0" borderId="0" xfId="0" applyFont="1" applyBorder="1" applyAlignment="1">
      <alignment horizontal="left" vertical="center"/>
    </xf>
    <xf numFmtId="0" fontId="57" fillId="0" borderId="0" xfId="0" applyFont="1" applyFill="1" applyBorder="1" applyAlignment="1">
      <alignment vertical="center"/>
    </xf>
    <xf numFmtId="0" fontId="86" fillId="0" borderId="0" xfId="0" applyFont="1" applyFill="1" applyBorder="1" applyAlignment="1">
      <alignment vertical="center"/>
    </xf>
    <xf numFmtId="9" fontId="0" fillId="0" borderId="0" xfId="0" applyNumberFormat="1" applyAlignment="1">
      <alignment horizontal="left"/>
    </xf>
    <xf numFmtId="0" fontId="66" fillId="0" borderId="0" xfId="0" applyFont="1" applyFill="1" applyAlignment="1">
      <alignment horizontal="left" vertical="center"/>
    </xf>
    <xf numFmtId="0" fontId="80" fillId="0" borderId="0" xfId="0" applyFont="1" applyFill="1" applyBorder="1" applyAlignment="1">
      <alignment horizontal="left" vertical="center"/>
    </xf>
    <xf numFmtId="0" fontId="99" fillId="0" borderId="0" xfId="0" applyFont="1" applyAlignment="1">
      <alignment vertical="top" wrapText="1"/>
    </xf>
    <xf numFmtId="0" fontId="100" fillId="0" borderId="0" xfId="0" applyFont="1" applyAlignment="1">
      <alignment wrapText="1"/>
    </xf>
    <xf numFmtId="0" fontId="99" fillId="0" borderId="0" xfId="0" applyFont="1" applyAlignment="1">
      <alignment vertical="center" wrapText="1"/>
    </xf>
    <xf numFmtId="0" fontId="99" fillId="0" borderId="0" xfId="0" applyFont="1" applyAlignment="1">
      <alignment horizontal="center" vertical="top" wrapText="1"/>
    </xf>
    <xf numFmtId="0" fontId="92" fillId="0" borderId="0" xfId="0" applyFont="1" applyFill="1" applyBorder="1" applyAlignment="1">
      <alignment horizontal="left" vertical="center"/>
    </xf>
    <xf numFmtId="0" fontId="66" fillId="0" borderId="0" xfId="0" applyFont="1" applyFill="1" applyAlignment="1">
      <alignment horizontal="right" vertical="center"/>
    </xf>
    <xf numFmtId="0" fontId="66" fillId="0" borderId="0" xfId="0" applyFont="1" applyFill="1" applyAlignment="1">
      <alignment horizontal="right" vertical="top"/>
    </xf>
    <xf numFmtId="0" fontId="89" fillId="0" borderId="0" xfId="0" applyFont="1" applyFill="1" applyBorder="1" applyAlignment="1">
      <alignment horizontal="right" vertical="center"/>
    </xf>
    <xf numFmtId="0" fontId="89" fillId="0" borderId="4" xfId="0" applyFont="1" applyBorder="1" applyAlignment="1">
      <alignment horizontal="left" vertical="center" wrapText="1"/>
    </xf>
    <xf numFmtId="0" fontId="89" fillId="0" borderId="4" xfId="0" applyFont="1" applyBorder="1" applyAlignment="1">
      <alignment horizontal="left" vertical="center"/>
    </xf>
    <xf numFmtId="0" fontId="89" fillId="0" borderId="0" xfId="0" applyFont="1" applyBorder="1" applyAlignment="1">
      <alignment horizontal="left" vertical="center"/>
    </xf>
    <xf numFmtId="0" fontId="89" fillId="0" borderId="0" xfId="0" applyFont="1" applyBorder="1" applyAlignment="1">
      <alignment horizontal="left" vertical="center" wrapText="1"/>
    </xf>
    <xf numFmtId="0" fontId="102" fillId="0" borderId="5" xfId="0" applyFont="1" applyFill="1" applyBorder="1" applyAlignment="1">
      <alignment horizontal="left" vertical="center"/>
    </xf>
    <xf numFmtId="0" fontId="102" fillId="0" borderId="5" xfId="0" applyFont="1" applyFill="1" applyBorder="1" applyAlignment="1">
      <alignment horizontal="center" vertical="center"/>
    </xf>
    <xf numFmtId="0" fontId="103" fillId="0" borderId="0" xfId="0" applyFont="1" applyFill="1" applyAlignment="1">
      <alignment horizontal="left"/>
    </xf>
    <xf numFmtId="0" fontId="96" fillId="0" borderId="0" xfId="0" applyFont="1" applyFill="1" applyBorder="1" applyAlignment="1">
      <alignment horizontal="center" vertical="top"/>
    </xf>
    <xf numFmtId="0" fontId="104" fillId="0" borderId="0" xfId="0" applyFont="1" applyFill="1" applyBorder="1" applyAlignment="1">
      <alignment horizontal="left" vertical="center"/>
    </xf>
    <xf numFmtId="0" fontId="95" fillId="5" borderId="28" xfId="0" applyFont="1" applyFill="1" applyBorder="1" applyAlignment="1">
      <alignment horizontal="center" vertical="center"/>
    </xf>
    <xf numFmtId="0" fontId="11" fillId="0" borderId="0" xfId="0" applyFont="1" applyFill="1" applyBorder="1" applyAlignment="1">
      <alignment horizontal="center" vertical="top"/>
    </xf>
    <xf numFmtId="0" fontId="95" fillId="5" borderId="36" xfId="0" applyFont="1" applyFill="1" applyBorder="1" applyAlignment="1">
      <alignment horizontal="left" vertical="center"/>
    </xf>
    <xf numFmtId="0" fontId="95" fillId="5" borderId="37" xfId="0" applyFont="1" applyFill="1" applyBorder="1" applyAlignment="1">
      <alignment horizontal="left" vertical="center"/>
    </xf>
    <xf numFmtId="0" fontId="95" fillId="5" borderId="37" xfId="0" applyFont="1" applyFill="1" applyBorder="1" applyAlignment="1">
      <alignment horizontal="center" vertical="center"/>
    </xf>
    <xf numFmtId="0" fontId="95" fillId="5" borderId="38" xfId="0" applyFont="1" applyFill="1" applyBorder="1" applyAlignment="1">
      <alignment horizontal="center" vertical="center"/>
    </xf>
    <xf numFmtId="0" fontId="105" fillId="0" borderId="0" xfId="0" applyFont="1" applyAlignment="1">
      <alignment horizontal="left"/>
    </xf>
    <xf numFmtId="0" fontId="95" fillId="5" borderId="0" xfId="0" applyFont="1" applyFill="1" applyBorder="1" applyAlignment="1">
      <alignment vertical="center"/>
    </xf>
    <xf numFmtId="0" fontId="12" fillId="0" borderId="17" xfId="0" applyFont="1" applyFill="1" applyBorder="1" applyAlignment="1">
      <alignment horizontal="center" vertical="top"/>
    </xf>
    <xf numFmtId="0" fontId="12" fillId="0" borderId="0" xfId="0" applyFont="1" applyFill="1" applyBorder="1" applyAlignment="1">
      <alignment horizontal="center" vertical="top"/>
    </xf>
    <xf numFmtId="0" fontId="13" fillId="0" borderId="4" xfId="0" applyFont="1" applyBorder="1" applyAlignment="1">
      <alignment wrapText="1"/>
    </xf>
    <xf numFmtId="0" fontId="13" fillId="0" borderId="0" xfId="0" applyFont="1" applyBorder="1" applyAlignment="1">
      <alignment wrapText="1"/>
    </xf>
    <xf numFmtId="0" fontId="11" fillId="0" borderId="6" xfId="0" applyFont="1" applyFill="1" applyBorder="1" applyAlignment="1">
      <alignment horizontal="center" vertical="top"/>
    </xf>
    <xf numFmtId="0" fontId="106" fillId="0" borderId="0" xfId="0" applyFont="1" applyAlignment="1">
      <alignment horizontal="left" vertical="top" wrapText="1"/>
    </xf>
    <xf numFmtId="0" fontId="11" fillId="0" borderId="17" xfId="0" applyFont="1" applyFill="1" applyBorder="1" applyAlignment="1">
      <alignment horizontal="center" vertical="top"/>
    </xf>
    <xf numFmtId="0" fontId="95" fillId="5" borderId="4" xfId="0" applyFont="1" applyFill="1" applyBorder="1" applyAlignment="1">
      <alignment vertical="center"/>
    </xf>
    <xf numFmtId="0" fontId="11" fillId="0" borderId="0" xfId="0" applyFont="1" applyFill="1" applyBorder="1" applyAlignment="1">
      <alignment horizontal="left" vertical="top"/>
    </xf>
    <xf numFmtId="9" fontId="11" fillId="4" borderId="0" xfId="1" applyFont="1" applyFill="1" applyAlignment="1">
      <alignment horizontal="center"/>
    </xf>
    <xf numFmtId="0" fontId="95" fillId="5" borderId="14" xfId="0" applyFont="1" applyFill="1" applyBorder="1" applyAlignment="1">
      <alignment vertical="center"/>
    </xf>
    <xf numFmtId="0" fontId="12" fillId="0" borderId="5" xfId="0" applyFont="1" applyFill="1" applyBorder="1" applyAlignment="1">
      <alignment horizontal="center" vertical="top"/>
    </xf>
    <xf numFmtId="0" fontId="11" fillId="0" borderId="5" xfId="0" applyFont="1" applyFill="1" applyBorder="1" applyAlignment="1">
      <alignment horizontal="center" vertical="top"/>
    </xf>
    <xf numFmtId="0" fontId="11" fillId="0" borderId="16" xfId="0" applyFont="1" applyFill="1" applyBorder="1" applyAlignment="1">
      <alignment horizontal="center" vertical="top"/>
    </xf>
    <xf numFmtId="0" fontId="95" fillId="5" borderId="39" xfId="0" applyFont="1" applyFill="1" applyBorder="1" applyAlignment="1">
      <alignment horizontal="left" vertical="center"/>
    </xf>
    <xf numFmtId="0" fontId="95" fillId="5" borderId="36" xfId="0" applyFont="1" applyFill="1" applyBorder="1" applyAlignment="1">
      <alignment horizontal="center" vertical="center"/>
    </xf>
    <xf numFmtId="0" fontId="11" fillId="0" borderId="4" xfId="0" applyFont="1" applyFill="1" applyBorder="1" applyAlignment="1">
      <alignment horizontal="center" vertical="top"/>
    </xf>
    <xf numFmtId="0" fontId="11" fillId="0" borderId="14" xfId="0" applyFont="1" applyFill="1" applyBorder="1" applyAlignment="1">
      <alignment horizontal="center" vertical="top"/>
    </xf>
    <xf numFmtId="9" fontId="11" fillId="0" borderId="0" xfId="1" applyFont="1" applyFill="1" applyBorder="1" applyAlignment="1">
      <alignment horizontal="center" vertical="top"/>
    </xf>
    <xf numFmtId="0" fontId="11" fillId="0" borderId="0" xfId="0" applyFont="1" applyAlignment="1">
      <alignment horizontal="center" vertical="center"/>
    </xf>
    <xf numFmtId="0" fontId="11" fillId="0" borderId="0" xfId="0" applyFont="1" applyAlignment="1">
      <alignment horizontal="left"/>
    </xf>
    <xf numFmtId="0" fontId="42" fillId="0" borderId="0" xfId="0" applyFont="1" applyAlignment="1">
      <alignment horizontal="left"/>
    </xf>
    <xf numFmtId="9" fontId="11" fillId="7" borderId="40" xfId="1" applyFont="1" applyFill="1" applyBorder="1" applyAlignment="1">
      <alignment horizontal="center" vertical="top"/>
    </xf>
    <xf numFmtId="0" fontId="80" fillId="0" borderId="0" xfId="0" applyFont="1" applyFill="1" applyAlignment="1">
      <alignment horizontal="center"/>
    </xf>
    <xf numFmtId="0" fontId="44" fillId="0" borderId="0" xfId="0" applyFont="1" applyFill="1" applyAlignment="1">
      <alignment horizontal="left"/>
    </xf>
    <xf numFmtId="0" fontId="44" fillId="0" borderId="0" xfId="0" applyFont="1" applyFill="1" applyAlignment="1">
      <alignment horizontal="center"/>
    </xf>
    <xf numFmtId="0" fontId="12" fillId="0" borderId="0" xfId="0" applyFont="1" applyFill="1" applyBorder="1" applyAlignment="1">
      <alignment horizontal="left" vertical="top"/>
    </xf>
    <xf numFmtId="0" fontId="95" fillId="5" borderId="38" xfId="0" applyFont="1" applyFill="1" applyBorder="1" applyAlignment="1">
      <alignment horizontal="left" vertical="center"/>
    </xf>
    <xf numFmtId="0" fontId="11" fillId="8" borderId="0" xfId="0" applyFont="1" applyFill="1" applyAlignment="1">
      <alignment horizontal="left"/>
    </xf>
    <xf numFmtId="0" fontId="13" fillId="8" borderId="0" xfId="0" applyFont="1" applyFill="1" applyAlignment="1">
      <alignment horizontal="left" wrapText="1"/>
    </xf>
    <xf numFmtId="0" fontId="13" fillId="8" borderId="0" xfId="0" applyFont="1" applyFill="1" applyAlignment="1">
      <alignment horizontal="left" vertical="top" wrapText="1"/>
    </xf>
    <xf numFmtId="0" fontId="58" fillId="0" borderId="0" xfId="0" applyFont="1" applyAlignment="1">
      <alignment horizontal="center" wrapText="1"/>
    </xf>
    <xf numFmtId="0" fontId="107" fillId="0" borderId="0" xfId="0" applyFont="1" applyAlignment="1">
      <alignment vertical="top" wrapText="1"/>
    </xf>
    <xf numFmtId="0" fontId="107" fillId="0" borderId="0" xfId="0" applyFont="1" applyAlignment="1">
      <alignment wrapText="1"/>
    </xf>
    <xf numFmtId="0" fontId="108" fillId="0" borderId="0" xfId="0" applyFont="1"/>
    <xf numFmtId="0" fontId="11" fillId="7" borderId="0" xfId="0" applyFont="1" applyFill="1" applyAlignment="1">
      <alignment horizontal="center"/>
    </xf>
    <xf numFmtId="0" fontId="16" fillId="2" borderId="0" xfId="0" applyFont="1" applyFill="1" applyAlignment="1" applyProtection="1">
      <alignment horizontal="left" vertical="center"/>
    </xf>
    <xf numFmtId="0" fontId="16" fillId="2" borderId="0" xfId="0" applyFont="1" applyFill="1" applyAlignment="1" applyProtection="1">
      <alignment horizontal="right" vertical="center"/>
    </xf>
    <xf numFmtId="0" fontId="16" fillId="2" borderId="0" xfId="0" applyFont="1" applyFill="1" applyAlignment="1" applyProtection="1">
      <alignment horizontal="center" vertical="center"/>
    </xf>
    <xf numFmtId="0" fontId="13" fillId="0" borderId="0" xfId="0" applyFont="1" applyAlignment="1" applyProtection="1">
      <alignment horizontal="left" vertical="top" wrapText="1"/>
    </xf>
    <xf numFmtId="0" fontId="58" fillId="0" borderId="0" xfId="0" applyFont="1" applyAlignment="1" applyProtection="1">
      <alignment vertical="top" wrapText="1"/>
    </xf>
    <xf numFmtId="0" fontId="13" fillId="0" borderId="0" xfId="0" applyFont="1" applyAlignment="1" applyProtection="1">
      <alignment vertical="top" wrapText="1"/>
    </xf>
    <xf numFmtId="0" fontId="7" fillId="2" borderId="0" xfId="0" applyFont="1" applyFill="1" applyBorder="1" applyAlignment="1" applyProtection="1">
      <alignment horizontal="left"/>
    </xf>
    <xf numFmtId="0" fontId="10" fillId="0" borderId="1" xfId="0" applyFont="1" applyBorder="1" applyAlignment="1" applyProtection="1">
      <alignment wrapText="1"/>
    </xf>
    <xf numFmtId="0" fontId="10" fillId="0" borderId="2" xfId="0" applyFont="1" applyBorder="1" applyAlignment="1" applyProtection="1">
      <alignment horizontal="right" wrapText="1"/>
    </xf>
    <xf numFmtId="0" fontId="10" fillId="0" borderId="2" xfId="0" applyFont="1" applyBorder="1" applyAlignment="1" applyProtection="1">
      <alignment wrapText="1"/>
    </xf>
    <xf numFmtId="0" fontId="4" fillId="0" borderId="2" xfId="0" applyFont="1" applyFill="1" applyBorder="1" applyAlignment="1" applyProtection="1">
      <alignment horizontal="left"/>
    </xf>
    <xf numFmtId="0" fontId="4" fillId="0" borderId="2" xfId="0" applyFont="1" applyFill="1" applyBorder="1" applyAlignment="1" applyProtection="1">
      <alignment horizontal="center"/>
    </xf>
    <xf numFmtId="0" fontId="8" fillId="0" borderId="3" xfId="0" applyFont="1" applyFill="1" applyBorder="1" applyAlignment="1" applyProtection="1">
      <alignment horizontal="left" wrapText="1"/>
    </xf>
    <xf numFmtId="0" fontId="10" fillId="0" borderId="0" xfId="0" applyFont="1" applyBorder="1" applyAlignment="1" applyProtection="1">
      <alignment wrapText="1"/>
    </xf>
    <xf numFmtId="0" fontId="10" fillId="0" borderId="4" xfId="0" applyFont="1" applyBorder="1" applyAlignment="1" applyProtection="1">
      <alignment wrapText="1"/>
    </xf>
    <xf numFmtId="0" fontId="50" fillId="0" borderId="0" xfId="0" applyFont="1" applyFill="1" applyBorder="1" applyAlignment="1" applyProtection="1">
      <alignment horizontal="left"/>
    </xf>
    <xf numFmtId="0" fontId="4" fillId="0" borderId="0" xfId="0" applyFont="1" applyFill="1" applyBorder="1" applyAlignment="1" applyProtection="1">
      <alignment horizontal="left"/>
    </xf>
    <xf numFmtId="0" fontId="4" fillId="0" borderId="0" xfId="0" applyFont="1" applyFill="1" applyBorder="1" applyAlignment="1" applyProtection="1">
      <alignment horizontal="center"/>
    </xf>
    <xf numFmtId="0" fontId="51" fillId="0" borderId="0" xfId="0" applyFont="1" applyFill="1" applyBorder="1" applyAlignment="1" applyProtection="1">
      <alignment horizontal="center" vertical="center"/>
    </xf>
    <xf numFmtId="0" fontId="8" fillId="0" borderId="6" xfId="0" applyFont="1" applyFill="1" applyBorder="1" applyAlignment="1" applyProtection="1">
      <alignment horizontal="left" wrapText="1"/>
    </xf>
    <xf numFmtId="0" fontId="45" fillId="0" borderId="0" xfId="0" applyFont="1" applyFill="1" applyBorder="1" applyAlignment="1" applyProtection="1">
      <alignment horizontal="left"/>
    </xf>
    <xf numFmtId="0" fontId="38" fillId="0" borderId="0" xfId="0" applyFont="1" applyBorder="1" applyAlignment="1" applyProtection="1">
      <alignment vertical="center"/>
    </xf>
    <xf numFmtId="0" fontId="13" fillId="0" borderId="4" xfId="0" applyFont="1" applyBorder="1" applyAlignment="1" applyProtection="1">
      <alignment vertical="top" wrapText="1"/>
    </xf>
    <xf numFmtId="0" fontId="17" fillId="0" borderId="0" xfId="0" applyFont="1" applyFill="1" applyBorder="1" applyAlignment="1" applyProtection="1">
      <alignment horizontal="right" vertical="center"/>
    </xf>
    <xf numFmtId="0" fontId="17" fillId="0" borderId="0" xfId="0" applyFont="1" applyFill="1" applyBorder="1" applyAlignment="1" applyProtection="1">
      <alignment horizontal="left" vertical="center"/>
    </xf>
    <xf numFmtId="0" fontId="17" fillId="0" borderId="0" xfId="0" applyFont="1" applyFill="1" applyBorder="1" applyAlignment="1" applyProtection="1">
      <alignment horizontal="center" vertical="center"/>
    </xf>
    <xf numFmtId="0" fontId="13" fillId="0" borderId="6" xfId="0" applyFont="1" applyFill="1" applyBorder="1" applyAlignment="1" applyProtection="1">
      <alignment horizontal="left" vertical="top" wrapText="1"/>
    </xf>
    <xf numFmtId="0" fontId="78" fillId="0" borderId="0" xfId="0" applyFont="1" applyFill="1" applyBorder="1" applyAlignment="1" applyProtection="1">
      <alignment vertical="center" wrapText="1"/>
    </xf>
    <xf numFmtId="0" fontId="2" fillId="0" borderId="0" xfId="0" applyFont="1" applyFill="1" applyBorder="1" applyAlignment="1" applyProtection="1">
      <alignment horizontal="center" vertical="center"/>
    </xf>
    <xf numFmtId="0" fontId="51" fillId="0" borderId="0" xfId="0" applyFont="1" applyFill="1" applyBorder="1" applyAlignment="1" applyProtection="1">
      <alignment vertical="center"/>
    </xf>
    <xf numFmtId="0" fontId="78" fillId="0" borderId="0" xfId="0" applyFont="1" applyFill="1" applyBorder="1" applyAlignment="1" applyProtection="1">
      <alignment horizontal="left" vertical="center" wrapText="1"/>
    </xf>
    <xf numFmtId="0" fontId="9" fillId="2" borderId="0" xfId="0" applyFont="1" applyFill="1" applyAlignment="1" applyProtection="1">
      <alignment horizontal="left"/>
    </xf>
    <xf numFmtId="0" fontId="70" fillId="0" borderId="4" xfId="0" applyFont="1" applyBorder="1" applyAlignment="1" applyProtection="1">
      <alignment wrapText="1"/>
    </xf>
    <xf numFmtId="0" fontId="39" fillId="0" borderId="26" xfId="0" applyFont="1" applyFill="1" applyBorder="1" applyAlignment="1" applyProtection="1">
      <alignment horizontal="right"/>
    </xf>
    <xf numFmtId="0" fontId="47" fillId="0" borderId="26" xfId="0" applyFont="1" applyFill="1" applyBorder="1" applyAlignment="1" applyProtection="1">
      <alignment vertical="center"/>
    </xf>
    <xf numFmtId="0" fontId="48" fillId="0" borderId="26" xfId="0" applyFont="1" applyFill="1" applyBorder="1" applyAlignment="1" applyProtection="1"/>
    <xf numFmtId="0" fontId="48" fillId="0" borderId="26" xfId="0" applyFont="1" applyFill="1" applyBorder="1" applyAlignment="1" applyProtection="1">
      <alignment horizontal="center"/>
    </xf>
    <xf numFmtId="0" fontId="48" fillId="0" borderId="0" xfId="0" applyFont="1" applyFill="1" applyBorder="1" applyAlignment="1" applyProtection="1"/>
    <xf numFmtId="0" fontId="9" fillId="0" borderId="6" xfId="0" applyFont="1" applyFill="1" applyBorder="1" applyAlignment="1" applyProtection="1"/>
    <xf numFmtId="0" fontId="23" fillId="2" borderId="0" xfId="0" applyFont="1" applyFill="1" applyBorder="1" applyAlignment="1" applyProtection="1">
      <alignment horizontal="left" wrapText="1"/>
    </xf>
    <xf numFmtId="0" fontId="3" fillId="0" borderId="0" xfId="0" applyFont="1" applyAlignment="1" applyProtection="1">
      <alignment horizontal="left" wrapText="1"/>
    </xf>
    <xf numFmtId="0" fontId="101" fillId="0" borderId="0" xfId="0" applyFont="1" applyAlignment="1" applyProtection="1">
      <alignment wrapText="1"/>
    </xf>
    <xf numFmtId="0" fontId="3" fillId="0" borderId="0" xfId="0" applyFont="1" applyAlignment="1" applyProtection="1">
      <alignment wrapText="1"/>
    </xf>
    <xf numFmtId="0" fontId="9" fillId="2" borderId="0" xfId="0" applyFont="1" applyFill="1" applyAlignment="1" applyProtection="1">
      <alignment horizontal="left" vertical="center"/>
    </xf>
    <xf numFmtId="0" fontId="9" fillId="0" borderId="4" xfId="0" applyFont="1" applyFill="1" applyBorder="1" applyAlignment="1" applyProtection="1">
      <alignment horizontal="left" vertical="center"/>
    </xf>
    <xf numFmtId="0" fontId="73" fillId="0" borderId="6" xfId="0" applyFont="1" applyFill="1" applyBorder="1" applyAlignment="1" applyProtection="1">
      <alignment horizontal="left" vertical="top" wrapText="1"/>
    </xf>
    <xf numFmtId="0" fontId="23" fillId="2" borderId="0" xfId="0" applyFont="1" applyFill="1" applyBorder="1" applyAlignment="1" applyProtection="1">
      <alignment horizontal="left" vertical="center" wrapText="1"/>
    </xf>
    <xf numFmtId="0" fontId="3" fillId="0" borderId="0" xfId="0" applyFont="1" applyAlignment="1" applyProtection="1">
      <alignment horizontal="left" vertical="top" wrapText="1"/>
    </xf>
    <xf numFmtId="0" fontId="101" fillId="0" borderId="0" xfId="0" applyFont="1" applyAlignment="1" applyProtection="1">
      <alignment vertical="top" wrapText="1"/>
    </xf>
    <xf numFmtId="0" fontId="3" fillId="0" borderId="0" xfId="0" applyFont="1" applyAlignment="1" applyProtection="1">
      <alignment vertical="top" wrapText="1"/>
    </xf>
    <xf numFmtId="0" fontId="97" fillId="0" borderId="4" xfId="0" applyFont="1" applyBorder="1" applyAlignment="1" applyProtection="1">
      <alignment horizontal="left" vertical="top"/>
    </xf>
    <xf numFmtId="0" fontId="3" fillId="0" borderId="0" xfId="0" applyFont="1" applyFill="1" applyBorder="1" applyAlignment="1" applyProtection="1">
      <alignment horizontal="right" vertical="center" wrapText="1"/>
    </xf>
    <xf numFmtId="0" fontId="78"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left" vertical="center" wrapText="1"/>
    </xf>
    <xf numFmtId="0" fontId="3" fillId="0" borderId="6" xfId="0" applyFont="1" applyFill="1" applyBorder="1" applyAlignment="1" applyProtection="1">
      <alignment horizontal="left" vertical="top" wrapText="1"/>
    </xf>
    <xf numFmtId="0" fontId="70" fillId="0" borderId="0" xfId="0" applyFont="1" applyFill="1" applyBorder="1" applyAlignment="1" applyProtection="1">
      <alignment horizontal="center" vertical="center" wrapText="1"/>
    </xf>
    <xf numFmtId="0" fontId="70" fillId="0" borderId="4" xfId="0" applyFont="1" applyFill="1" applyBorder="1" applyAlignment="1" applyProtection="1"/>
    <xf numFmtId="0" fontId="3" fillId="0" borderId="0" xfId="0" applyFont="1" applyFill="1" applyAlignment="1" applyProtection="1">
      <alignment horizontal="right" wrapText="1"/>
    </xf>
    <xf numFmtId="0" fontId="3" fillId="0" borderId="0" xfId="0" applyFont="1" applyFill="1" applyAlignment="1" applyProtection="1">
      <alignment wrapText="1"/>
    </xf>
    <xf numFmtId="0" fontId="48" fillId="0" borderId="0" xfId="0" applyFont="1" applyFill="1" applyBorder="1" applyAlignment="1" applyProtection="1">
      <alignment horizontal="right" vertical="center"/>
    </xf>
    <xf numFmtId="0" fontId="3" fillId="0" borderId="4" xfId="0" applyFont="1" applyBorder="1" applyAlignment="1" applyProtection="1">
      <alignment vertical="center"/>
    </xf>
    <xf numFmtId="0" fontId="48" fillId="0" borderId="0" xfId="0" applyFont="1" applyFill="1" applyBorder="1" applyAlignment="1" applyProtection="1">
      <alignment horizontal="left" vertical="center"/>
    </xf>
    <xf numFmtId="0" fontId="48" fillId="0" borderId="0" xfId="0" applyFont="1" applyFill="1" applyBorder="1" applyAlignment="1" applyProtection="1">
      <alignment vertical="center" wrapText="1"/>
    </xf>
    <xf numFmtId="0" fontId="48"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3" fillId="0" borderId="6" xfId="0" applyFont="1" applyBorder="1" applyAlignment="1" applyProtection="1">
      <alignment horizontal="center" vertical="center" wrapText="1"/>
    </xf>
    <xf numFmtId="0" fontId="3" fillId="0" borderId="0" xfId="0" applyFont="1" applyAlignment="1" applyProtection="1">
      <alignment horizontal="left" vertical="center" wrapText="1"/>
    </xf>
    <xf numFmtId="0" fontId="101" fillId="0" borderId="0" xfId="0" applyFont="1" applyAlignment="1" applyProtection="1">
      <alignment vertical="center" wrapText="1"/>
    </xf>
    <xf numFmtId="0" fontId="3" fillId="0" borderId="0" xfId="0" applyFont="1" applyAlignment="1" applyProtection="1">
      <alignment vertical="center" wrapText="1"/>
    </xf>
    <xf numFmtId="0" fontId="70" fillId="0" borderId="4" xfId="0" applyFont="1" applyBorder="1" applyAlignment="1" applyProtection="1">
      <alignment vertical="center" wrapText="1"/>
    </xf>
    <xf numFmtId="0" fontId="22" fillId="0" borderId="0" xfId="0" applyFont="1" applyFill="1" applyBorder="1" applyAlignment="1" applyProtection="1">
      <alignment horizontal="left" vertical="center" wrapText="1"/>
    </xf>
    <xf numFmtId="0" fontId="3" fillId="0" borderId="0" xfId="0" applyFont="1" applyFill="1" applyBorder="1" applyAlignment="1" applyProtection="1">
      <alignment horizontal="left" vertical="top" wrapText="1"/>
    </xf>
    <xf numFmtId="0" fontId="48" fillId="0" borderId="0" xfId="0" applyFont="1" applyFill="1" applyBorder="1" applyAlignment="1" applyProtection="1">
      <alignment vertical="center"/>
    </xf>
    <xf numFmtId="0" fontId="22" fillId="0" borderId="0" xfId="0" applyFont="1" applyFill="1" applyBorder="1" applyAlignment="1" applyProtection="1">
      <alignment vertical="center" wrapText="1"/>
    </xf>
    <xf numFmtId="0" fontId="97" fillId="0" borderId="4" xfId="0" applyFont="1" applyBorder="1" applyAlignment="1" applyProtection="1">
      <alignment horizontal="left" vertical="center"/>
    </xf>
    <xf numFmtId="0" fontId="3" fillId="0" borderId="0" xfId="0" applyFont="1" applyFill="1" applyBorder="1" applyAlignment="1" applyProtection="1">
      <alignment horizontal="right" wrapText="1"/>
    </xf>
    <xf numFmtId="0" fontId="48" fillId="0" borderId="0" xfId="0" applyFont="1" applyBorder="1" applyAlignment="1" applyProtection="1"/>
    <xf numFmtId="0" fontId="65" fillId="0" borderId="0" xfId="0" applyFont="1" applyAlignment="1" applyProtection="1">
      <alignment horizontal="center"/>
    </xf>
    <xf numFmtId="0" fontId="3" fillId="0" borderId="0" xfId="0" applyFont="1" applyAlignment="1" applyProtection="1">
      <alignment horizontal="center" wrapText="1"/>
    </xf>
    <xf numFmtId="0" fontId="78" fillId="0" borderId="0" xfId="0" applyFont="1" applyFill="1" applyBorder="1" applyAlignment="1" applyProtection="1">
      <alignment horizontal="right" wrapText="1"/>
    </xf>
    <xf numFmtId="0" fontId="22" fillId="0" borderId="0" xfId="0" applyFont="1" applyFill="1" applyBorder="1" applyAlignment="1" applyProtection="1">
      <alignment horizontal="left" wrapText="1"/>
    </xf>
    <xf numFmtId="0" fontId="73" fillId="0" borderId="6" xfId="0" applyFont="1" applyFill="1" applyBorder="1" applyAlignment="1" applyProtection="1">
      <alignment horizontal="left" wrapText="1"/>
    </xf>
    <xf numFmtId="0" fontId="3" fillId="0" borderId="0" xfId="0" applyFont="1" applyAlignment="1" applyProtection="1">
      <alignment horizontal="center" vertical="center" wrapText="1"/>
    </xf>
    <xf numFmtId="0" fontId="78" fillId="0" borderId="0" xfId="0" applyFont="1" applyFill="1" applyBorder="1" applyAlignment="1" applyProtection="1">
      <alignment horizontal="right" vertical="center" wrapText="1"/>
    </xf>
    <xf numFmtId="0" fontId="79" fillId="0" borderId="0" xfId="0" applyFont="1" applyFill="1" applyBorder="1" applyAlignment="1" applyProtection="1">
      <alignment horizontal="right" vertical="center" wrapText="1"/>
    </xf>
    <xf numFmtId="0" fontId="97" fillId="0" borderId="6" xfId="0" applyFont="1" applyFill="1" applyBorder="1" applyAlignment="1" applyProtection="1">
      <alignment horizontal="left" vertical="center"/>
    </xf>
    <xf numFmtId="0" fontId="97" fillId="0" borderId="6" xfId="0" applyFont="1" applyFill="1" applyBorder="1" applyAlignment="1" applyProtection="1">
      <alignment horizontal="right" vertical="center"/>
    </xf>
    <xf numFmtId="0" fontId="70" fillId="0" borderId="0" xfId="0" applyFont="1" applyFill="1" applyBorder="1" applyAlignment="1" applyProtection="1"/>
    <xf numFmtId="0" fontId="78" fillId="0" borderId="0" xfId="0" applyFont="1" applyFill="1" applyBorder="1" applyAlignment="1" applyProtection="1">
      <alignment horizontal="center" wrapText="1"/>
    </xf>
    <xf numFmtId="0" fontId="78" fillId="0" borderId="0" xfId="0" applyFont="1" applyAlignment="1" applyProtection="1">
      <alignment wrapText="1"/>
    </xf>
    <xf numFmtId="0" fontId="78" fillId="0" borderId="0" xfId="0" applyFont="1" applyFill="1" applyBorder="1" applyAlignment="1" applyProtection="1">
      <alignment horizontal="left" wrapText="1"/>
    </xf>
    <xf numFmtId="0" fontId="97" fillId="0" borderId="6" xfId="0" applyFont="1" applyFill="1" applyBorder="1" applyAlignment="1" applyProtection="1">
      <alignment horizontal="left" vertical="top"/>
    </xf>
    <xf numFmtId="0" fontId="70" fillId="0" borderId="0" xfId="0" applyFont="1" applyBorder="1" applyAlignment="1" applyProtection="1"/>
    <xf numFmtId="0" fontId="78" fillId="0" borderId="0" xfId="0" applyFont="1" applyFill="1" applyBorder="1" applyAlignment="1" applyProtection="1">
      <alignment horizontal="left"/>
    </xf>
    <xf numFmtId="0" fontId="3" fillId="0" borderId="6" xfId="0" applyFont="1" applyBorder="1" applyAlignment="1" applyProtection="1">
      <alignment horizontal="center" wrapText="1"/>
    </xf>
    <xf numFmtId="0" fontId="23" fillId="2" borderId="0" xfId="0" applyFont="1" applyFill="1" applyBorder="1" applyAlignment="1" applyProtection="1">
      <alignment horizontal="left" vertical="top" wrapText="1"/>
    </xf>
    <xf numFmtId="0" fontId="78" fillId="0" borderId="0" xfId="0" applyFont="1" applyFill="1" applyBorder="1" applyAlignment="1" applyProtection="1">
      <alignment horizontal="center" vertical="top" wrapText="1"/>
    </xf>
    <xf numFmtId="0" fontId="48" fillId="0" borderId="0" xfId="0" applyFont="1" applyBorder="1" applyAlignment="1" applyProtection="1">
      <alignment vertical="top"/>
    </xf>
    <xf numFmtId="0" fontId="78" fillId="0" borderId="0" xfId="0" applyFont="1" applyAlignment="1" applyProtection="1">
      <alignment vertical="top" wrapText="1"/>
    </xf>
    <xf numFmtId="0" fontId="3" fillId="0" borderId="6" xfId="0" applyFont="1" applyBorder="1" applyAlignment="1" applyProtection="1">
      <alignment horizontal="center" vertical="top" wrapText="1"/>
    </xf>
    <xf numFmtId="0" fontId="63" fillId="0" borderId="0" xfId="0" applyFont="1" applyAlignment="1" applyProtection="1">
      <alignment horizontal="right" vertical="center" wrapText="1"/>
    </xf>
    <xf numFmtId="0" fontId="89" fillId="0" borderId="0" xfId="0" applyFont="1" applyAlignment="1" applyProtection="1">
      <alignment horizontal="center" vertical="center" wrapText="1"/>
    </xf>
    <xf numFmtId="0" fontId="21" fillId="2" borderId="0" xfId="0" applyFont="1" applyFill="1" applyBorder="1" applyAlignment="1" applyProtection="1">
      <alignment horizontal="left" vertical="center" wrapText="1"/>
    </xf>
    <xf numFmtId="0" fontId="18" fillId="0" borderId="14" xfId="0" applyFont="1" applyBorder="1" applyAlignment="1" applyProtection="1">
      <alignment horizontal="center" vertical="center" wrapText="1"/>
    </xf>
    <xf numFmtId="0" fontId="20" fillId="0" borderId="5" xfId="0" applyFont="1" applyBorder="1" applyAlignment="1" applyProtection="1">
      <alignment horizontal="right" vertical="top" wrapText="1"/>
    </xf>
    <xf numFmtId="0" fontId="13" fillId="0" borderId="5" xfId="0" applyFont="1" applyBorder="1" applyAlignment="1" applyProtection="1">
      <alignment vertical="top" wrapText="1"/>
    </xf>
    <xf numFmtId="0" fontId="13" fillId="0" borderId="5" xfId="0" applyFont="1" applyBorder="1" applyAlignment="1" applyProtection="1">
      <alignment horizontal="center" vertical="top" wrapText="1"/>
    </xf>
    <xf numFmtId="0" fontId="13" fillId="0" borderId="5" xfId="0" applyFont="1" applyBorder="1" applyAlignment="1" applyProtection="1">
      <alignment horizontal="center" vertical="center" wrapText="1"/>
    </xf>
    <xf numFmtId="0" fontId="19" fillId="0" borderId="5" xfId="0" applyFont="1" applyBorder="1" applyAlignment="1" applyProtection="1">
      <alignment horizontal="center" vertical="center" wrapText="1"/>
    </xf>
    <xf numFmtId="0" fontId="13" fillId="0" borderId="16" xfId="0" applyFont="1" applyBorder="1" applyAlignment="1" applyProtection="1">
      <alignment horizontal="center" vertical="top" wrapText="1"/>
    </xf>
    <xf numFmtId="0" fontId="21" fillId="2" borderId="0" xfId="0" applyFont="1" applyFill="1" applyBorder="1" applyAlignment="1" applyProtection="1">
      <alignment horizontal="right" vertical="center" wrapText="1"/>
    </xf>
    <xf numFmtId="0" fontId="21" fillId="2" borderId="0" xfId="0" applyFont="1" applyFill="1" applyBorder="1" applyAlignment="1" applyProtection="1">
      <alignment horizontal="center" vertical="center" wrapText="1"/>
    </xf>
    <xf numFmtId="0" fontId="0" fillId="0" borderId="0" xfId="0" applyProtection="1"/>
    <xf numFmtId="0" fontId="0" fillId="0" borderId="0" xfId="0" applyAlignment="1" applyProtection="1">
      <alignment horizontal="right"/>
    </xf>
    <xf numFmtId="0" fontId="0" fillId="0" borderId="0" xfId="0" applyAlignment="1" applyProtection="1">
      <alignment horizontal="center"/>
    </xf>
    <xf numFmtId="0" fontId="98" fillId="0" borderId="0" xfId="0" applyFont="1" applyProtection="1"/>
    <xf numFmtId="0" fontId="16" fillId="2" borderId="0" xfId="0" applyFont="1" applyFill="1" applyBorder="1" applyAlignment="1" applyProtection="1">
      <alignment horizontal="left" vertical="center"/>
    </xf>
    <xf numFmtId="0" fontId="16" fillId="2" borderId="0" xfId="0" applyFont="1" applyFill="1" applyBorder="1" applyAlignment="1" applyProtection="1">
      <alignment horizontal="center" vertical="center"/>
    </xf>
    <xf numFmtId="0" fontId="7" fillId="2" borderId="0" xfId="0" applyFont="1" applyFill="1" applyAlignment="1" applyProtection="1">
      <alignment horizontal="left"/>
    </xf>
    <xf numFmtId="0" fontId="50" fillId="0" borderId="2" xfId="0" applyFont="1" applyFill="1" applyBorder="1" applyAlignment="1" applyProtection="1">
      <alignment horizontal="left"/>
    </xf>
    <xf numFmtId="0" fontId="24" fillId="0" borderId="2" xfId="0" applyFont="1" applyBorder="1" applyAlignment="1" applyProtection="1"/>
    <xf numFmtId="0" fontId="24" fillId="0" borderId="2" xfId="0" applyFont="1" applyBorder="1" applyAlignment="1" applyProtection="1">
      <alignment horizontal="left"/>
    </xf>
    <xf numFmtId="0" fontId="10" fillId="0" borderId="0" xfId="0" applyFont="1" applyAlignment="1" applyProtection="1">
      <alignment horizontal="left" wrapText="1"/>
    </xf>
    <xf numFmtId="0" fontId="10" fillId="0" borderId="0" xfId="0" applyFont="1" applyAlignment="1" applyProtection="1">
      <alignment wrapText="1"/>
    </xf>
    <xf numFmtId="0" fontId="26" fillId="0" borderId="0" xfId="0" applyFont="1" applyFill="1" applyBorder="1" applyAlignment="1" applyProtection="1">
      <alignment horizontal="left"/>
    </xf>
    <xf numFmtId="0" fontId="27" fillId="0" borderId="0" xfId="0" applyFont="1" applyBorder="1" applyAlignment="1" applyProtection="1">
      <alignment vertical="top" wrapText="1"/>
    </xf>
    <xf numFmtId="0" fontId="13" fillId="0" borderId="0" xfId="0" applyFont="1" applyBorder="1" applyAlignment="1" applyProtection="1">
      <alignment vertical="top" wrapText="1"/>
    </xf>
    <xf numFmtId="0" fontId="15" fillId="0" borderId="0" xfId="0" applyFont="1" applyFill="1" applyBorder="1" applyAlignment="1" applyProtection="1">
      <alignment horizontal="center" vertical="center"/>
    </xf>
    <xf numFmtId="0" fontId="13" fillId="0" borderId="0" xfId="0" applyFont="1" applyFill="1" applyBorder="1" applyAlignment="1" applyProtection="1">
      <alignment horizontal="left" vertical="top" wrapText="1"/>
    </xf>
    <xf numFmtId="0" fontId="5" fillId="0" borderId="0" xfId="0" applyFont="1" applyBorder="1" applyAlignment="1" applyProtection="1">
      <alignment vertical="top" wrapText="1"/>
    </xf>
    <xf numFmtId="0" fontId="39" fillId="0" borderId="0" xfId="0" applyFont="1" applyFill="1" applyBorder="1" applyAlignment="1" applyProtection="1">
      <alignment horizontal="center" vertical="top" wrapText="1"/>
    </xf>
    <xf numFmtId="0" fontId="72" fillId="0" borderId="0" xfId="0" applyFont="1" applyFill="1" applyBorder="1" applyAlignment="1" applyProtection="1">
      <alignment horizontal="center" vertical="top" wrapText="1"/>
    </xf>
    <xf numFmtId="0" fontId="22" fillId="0" borderId="0" xfId="0" applyFont="1" applyFill="1" applyBorder="1" applyAlignment="1" applyProtection="1">
      <alignment vertical="center"/>
    </xf>
    <xf numFmtId="0" fontId="22" fillId="0" borderId="0" xfId="0" applyFont="1" applyFill="1" applyBorder="1" applyAlignment="1" applyProtection="1">
      <alignment horizontal="center" vertical="center"/>
    </xf>
    <xf numFmtId="0" fontId="48" fillId="0" borderId="0" xfId="0" applyFont="1" applyFill="1" applyBorder="1" applyAlignment="1" applyProtection="1">
      <alignment horizontal="center"/>
    </xf>
    <xf numFmtId="0" fontId="9" fillId="0" borderId="4" xfId="0" applyFont="1" applyFill="1" applyBorder="1" applyAlignment="1" applyProtection="1"/>
    <xf numFmtId="0" fontId="47" fillId="0" borderId="26" xfId="0" applyFont="1" applyFill="1" applyBorder="1" applyAlignment="1" applyProtection="1"/>
    <xf numFmtId="0" fontId="22" fillId="0" borderId="26" xfId="0" applyFont="1" applyBorder="1" applyAlignment="1" applyProtection="1">
      <alignment wrapText="1"/>
    </xf>
    <xf numFmtId="0" fontId="22" fillId="0" borderId="26" xfId="0" applyFont="1" applyBorder="1" applyAlignment="1" applyProtection="1">
      <alignment horizontal="left" wrapText="1"/>
    </xf>
    <xf numFmtId="0" fontId="3" fillId="0" borderId="6" xfId="0" applyFont="1" applyBorder="1" applyAlignment="1" applyProtection="1">
      <alignment wrapText="1"/>
    </xf>
    <xf numFmtId="0" fontId="9" fillId="2" borderId="0" xfId="0" applyFont="1" applyFill="1" applyBorder="1" applyAlignment="1" applyProtection="1">
      <alignment horizontal="left"/>
    </xf>
    <xf numFmtId="0" fontId="71" fillId="2" borderId="0" xfId="0" applyFont="1" applyFill="1" applyAlignment="1" applyProtection="1">
      <alignment horizontal="left" vertical="center"/>
    </xf>
    <xf numFmtId="0" fontId="71" fillId="0" borderId="4" xfId="0" applyFont="1" applyFill="1" applyBorder="1" applyAlignment="1" applyProtection="1">
      <alignment horizontal="left" vertical="center"/>
    </xf>
    <xf numFmtId="0" fontId="77" fillId="0" borderId="6" xfId="0" applyFont="1" applyFill="1" applyBorder="1" applyAlignment="1" applyProtection="1">
      <alignment horizontal="left" vertical="top" wrapText="1"/>
    </xf>
    <xf numFmtId="0" fontId="59" fillId="0" borderId="0" xfId="0" applyFont="1" applyAlignment="1" applyProtection="1">
      <alignment vertical="top" wrapText="1"/>
    </xf>
    <xf numFmtId="0" fontId="40" fillId="0" borderId="4" xfId="0" applyFont="1" applyFill="1" applyBorder="1" applyAlignment="1" applyProtection="1"/>
    <xf numFmtId="0" fontId="50" fillId="0" borderId="5" xfId="0" applyFont="1" applyFill="1" applyBorder="1" applyAlignment="1" applyProtection="1">
      <alignment vertical="center"/>
    </xf>
    <xf numFmtId="0" fontId="50" fillId="0" borderId="5" xfId="0" applyFont="1" applyFill="1" applyBorder="1" applyAlignment="1" applyProtection="1">
      <alignment horizontal="left" vertical="center" wrapText="1"/>
    </xf>
    <xf numFmtId="0" fontId="50" fillId="0" borderId="5" xfId="0" applyFont="1" applyFill="1" applyBorder="1" applyAlignment="1" applyProtection="1">
      <alignment horizontal="center" vertical="center" wrapText="1"/>
    </xf>
    <xf numFmtId="0" fontId="6" fillId="0" borderId="6" xfId="0" applyFont="1" applyFill="1" applyBorder="1" applyAlignment="1" applyProtection="1">
      <alignment horizontal="left" wrapText="1"/>
    </xf>
    <xf numFmtId="0" fontId="71" fillId="2" borderId="0" xfId="0" applyFont="1" applyFill="1" applyAlignment="1" applyProtection="1">
      <alignment horizontal="left"/>
    </xf>
    <xf numFmtId="0" fontId="40" fillId="0" borderId="0" xfId="0" applyFont="1" applyAlignment="1" applyProtection="1">
      <alignment wrapText="1"/>
    </xf>
    <xf numFmtId="0" fontId="59" fillId="0" borderId="11" xfId="0" applyFont="1" applyFill="1" applyBorder="1" applyAlignment="1" applyProtection="1">
      <alignment horizontal="center" vertical="center" wrapText="1"/>
    </xf>
    <xf numFmtId="0" fontId="59" fillId="0" borderId="12" xfId="0" applyFont="1" applyFill="1" applyBorder="1" applyAlignment="1" applyProtection="1">
      <alignment horizontal="center" vertical="center" wrapText="1"/>
    </xf>
    <xf numFmtId="0" fontId="74" fillId="0" borderId="6" xfId="0" applyFont="1" applyFill="1" applyBorder="1" applyAlignment="1" applyProtection="1">
      <alignment horizontal="left" vertical="center" wrapText="1"/>
    </xf>
    <xf numFmtId="0" fontId="59" fillId="0" borderId="0" xfId="0" applyFont="1" applyAlignment="1" applyProtection="1">
      <alignment horizontal="left" vertical="center" wrapText="1"/>
    </xf>
    <xf numFmtId="0" fontId="59" fillId="0" borderId="11" xfId="0" applyFont="1" applyBorder="1" applyAlignment="1" applyProtection="1">
      <alignment horizontal="center" vertical="center" wrapText="1"/>
    </xf>
    <xf numFmtId="0" fontId="74" fillId="0" borderId="6" xfId="0" applyFont="1" applyBorder="1" applyAlignment="1" applyProtection="1">
      <alignment horizontal="left" vertical="center" wrapText="1"/>
    </xf>
    <xf numFmtId="0" fontId="15" fillId="0" borderId="26" xfId="0" applyFont="1" applyFill="1" applyBorder="1" applyAlignment="1" applyProtection="1"/>
    <xf numFmtId="0" fontId="15" fillId="0" borderId="26" xfId="0" applyFont="1" applyFill="1" applyBorder="1" applyAlignment="1" applyProtection="1">
      <alignment horizontal="left"/>
    </xf>
    <xf numFmtId="0" fontId="52" fillId="0" borderId="11" xfId="0" applyFont="1" applyBorder="1" applyAlignment="1" applyProtection="1">
      <alignment horizontal="center" vertical="center" wrapText="1"/>
    </xf>
    <xf numFmtId="0" fontId="59" fillId="0" borderId="6" xfId="0" applyFont="1" applyBorder="1" applyAlignment="1" applyProtection="1">
      <alignment horizontal="center" vertical="center" wrapText="1"/>
    </xf>
    <xf numFmtId="0" fontId="59" fillId="0" borderId="0" xfId="0" applyFont="1" applyAlignment="1" applyProtection="1">
      <alignment vertical="center" wrapText="1"/>
    </xf>
    <xf numFmtId="0" fontId="40" fillId="0" borderId="4" xfId="0" applyFont="1" applyBorder="1" applyAlignment="1" applyProtection="1">
      <alignment horizontal="center" vertical="center" wrapText="1"/>
    </xf>
    <xf numFmtId="0" fontId="18" fillId="0" borderId="5" xfId="0" applyFont="1" applyBorder="1" applyAlignment="1" applyProtection="1">
      <alignment horizontal="center" vertical="center" wrapText="1"/>
    </xf>
    <xf numFmtId="0" fontId="13" fillId="0" borderId="5" xfId="0" applyFont="1" applyBorder="1" applyAlignment="1" applyProtection="1">
      <alignment horizontal="left" vertical="top" wrapText="1"/>
    </xf>
    <xf numFmtId="0" fontId="20" fillId="0" borderId="0" xfId="0" applyFont="1" applyAlignment="1" applyProtection="1">
      <alignment horizontal="right" vertical="top" wrapText="1"/>
    </xf>
    <xf numFmtId="0" fontId="13" fillId="0" borderId="0" xfId="0" applyFont="1" applyBorder="1" applyAlignment="1" applyProtection="1">
      <alignment horizontal="center" vertical="center" wrapText="1"/>
    </xf>
    <xf numFmtId="0" fontId="13" fillId="0" borderId="0" xfId="0" applyFont="1" applyBorder="1" applyAlignment="1" applyProtection="1">
      <alignment horizontal="left" vertical="top" wrapText="1"/>
    </xf>
    <xf numFmtId="0" fontId="13" fillId="0" borderId="0" xfId="0" applyFont="1" applyAlignment="1" applyProtection="1">
      <alignment horizontal="center" vertical="top" wrapText="1"/>
    </xf>
    <xf numFmtId="0" fontId="76" fillId="2" borderId="0" xfId="0" applyFont="1" applyFill="1" applyBorder="1" applyAlignment="1" applyProtection="1">
      <alignment horizontal="left" wrapText="1"/>
    </xf>
    <xf numFmtId="0" fontId="75" fillId="2" borderId="0" xfId="0" applyFont="1" applyFill="1" applyBorder="1" applyAlignment="1" applyProtection="1">
      <alignment horizontal="left" vertical="center" wrapText="1"/>
    </xf>
    <xf numFmtId="0" fontId="75" fillId="0" borderId="4" xfId="0" applyFont="1" applyFill="1" applyBorder="1" applyAlignment="1" applyProtection="1">
      <alignment horizontal="left" vertical="center" wrapText="1"/>
    </xf>
    <xf numFmtId="0" fontId="65" fillId="0" borderId="32" xfId="0" applyFont="1" applyFill="1" applyBorder="1" applyAlignment="1" applyProtection="1">
      <alignment horizontal="left" vertical="center" wrapText="1"/>
      <protection locked="0"/>
    </xf>
    <xf numFmtId="0" fontId="3" fillId="0" borderId="4" xfId="0" applyFont="1" applyBorder="1" applyAlignment="1" applyProtection="1">
      <alignment vertical="top" wrapText="1"/>
    </xf>
    <xf numFmtId="0" fontId="48" fillId="2" borderId="0" xfId="0" applyFont="1" applyFill="1" applyBorder="1" applyAlignment="1" applyProtection="1">
      <alignment horizontal="left"/>
    </xf>
    <xf numFmtId="0" fontId="3" fillId="0" borderId="0" xfId="0" applyFont="1" applyBorder="1" applyAlignment="1" applyProtection="1">
      <alignment vertical="top" wrapText="1"/>
    </xf>
    <xf numFmtId="0" fontId="59" fillId="0" borderId="0" xfId="0" applyFont="1" applyAlignment="1" applyProtection="1">
      <alignment wrapText="1"/>
    </xf>
    <xf numFmtId="0" fontId="16" fillId="0" borderId="4" xfId="0" applyFont="1" applyFill="1" applyBorder="1" applyAlignment="1" applyProtection="1">
      <alignment horizontal="left" vertical="center"/>
    </xf>
    <xf numFmtId="0" fontId="21" fillId="0" borderId="4" xfId="0" applyFont="1" applyFill="1" applyBorder="1" applyAlignment="1" applyProtection="1">
      <alignment horizontal="left" vertical="center" wrapText="1"/>
    </xf>
    <xf numFmtId="0" fontId="8" fillId="0" borderId="4" xfId="0" applyFont="1" applyFill="1" applyBorder="1" applyAlignment="1" applyProtection="1"/>
    <xf numFmtId="0" fontId="9" fillId="2" borderId="0" xfId="0" applyFont="1" applyFill="1" applyBorder="1" applyAlignment="1" applyProtection="1">
      <alignment horizontal="left" vertical="center"/>
    </xf>
    <xf numFmtId="0" fontId="83" fillId="2" borderId="0" xfId="0" applyFont="1" applyFill="1" applyAlignment="1" applyProtection="1">
      <alignment horizontal="left" vertical="center"/>
    </xf>
    <xf numFmtId="0" fontId="84" fillId="0" borderId="4" xfId="0" applyFont="1" applyBorder="1" applyAlignment="1" applyProtection="1">
      <alignment vertical="top" wrapText="1"/>
    </xf>
    <xf numFmtId="0" fontId="84" fillId="0" borderId="0" xfId="0" applyFont="1" applyAlignment="1" applyProtection="1">
      <alignment vertical="top" wrapText="1"/>
    </xf>
    <xf numFmtId="0" fontId="84" fillId="0" borderId="0" xfId="0" applyFont="1" applyBorder="1" applyAlignment="1" applyProtection="1">
      <alignment vertical="top" wrapText="1"/>
    </xf>
    <xf numFmtId="0" fontId="26" fillId="0" borderId="0" xfId="0" applyFont="1" applyFill="1" applyBorder="1" applyAlignment="1" applyProtection="1">
      <alignment horizontal="center" vertical="center"/>
    </xf>
    <xf numFmtId="0" fontId="22" fillId="0" borderId="0" xfId="0" applyFont="1" applyBorder="1" applyAlignment="1" applyProtection="1">
      <alignment vertical="top" wrapText="1"/>
    </xf>
    <xf numFmtId="0" fontId="15" fillId="0" borderId="0" xfId="0" applyFont="1" applyFill="1" applyBorder="1" applyAlignment="1" applyProtection="1">
      <alignment horizontal="left" vertical="center"/>
    </xf>
    <xf numFmtId="0" fontId="3" fillId="0" borderId="0" xfId="0" applyFont="1" applyBorder="1" applyAlignment="1" applyProtection="1">
      <alignment horizontal="center" vertical="center" wrapText="1"/>
    </xf>
    <xf numFmtId="0" fontId="15" fillId="0" borderId="0" xfId="0" applyFont="1" applyFill="1" applyBorder="1" applyAlignment="1" applyProtection="1">
      <alignment horizontal="left"/>
    </xf>
    <xf numFmtId="0" fontId="15" fillId="0" borderId="0" xfId="0" applyFont="1" applyFill="1" applyBorder="1" applyAlignment="1" applyProtection="1">
      <alignment horizontal="right" vertical="center"/>
    </xf>
    <xf numFmtId="0" fontId="15" fillId="0" borderId="0" xfId="0" applyFont="1" applyFill="1" applyBorder="1" applyAlignment="1" applyProtection="1">
      <alignment horizontal="left" vertical="center" wrapText="1"/>
    </xf>
    <xf numFmtId="0" fontId="6" fillId="0" borderId="4" xfId="0" applyFont="1" applyFill="1" applyBorder="1" applyAlignment="1" applyProtection="1">
      <alignment horizontal="center" vertical="center" wrapText="1"/>
    </xf>
    <xf numFmtId="0" fontId="6" fillId="0" borderId="4" xfId="0" applyFont="1" applyBorder="1" applyAlignment="1" applyProtection="1">
      <alignment horizontal="center" vertical="center" wrapText="1"/>
    </xf>
    <xf numFmtId="0" fontId="70" fillId="0" borderId="14" xfId="0" applyFont="1" applyBorder="1" applyAlignment="1" applyProtection="1">
      <alignment horizontal="center" vertical="center" wrapText="1"/>
    </xf>
    <xf numFmtId="0" fontId="70" fillId="0" borderId="5" xfId="0" applyFont="1" applyBorder="1" applyAlignment="1" applyProtection="1">
      <alignment horizontal="center" vertical="center" wrapText="1"/>
    </xf>
    <xf numFmtId="0" fontId="73" fillId="0" borderId="5" xfId="0" applyFont="1" applyBorder="1" applyAlignment="1" applyProtection="1">
      <alignment horizontal="right" vertical="top" wrapText="1"/>
    </xf>
    <xf numFmtId="0" fontId="3" fillId="0" borderId="5" xfId="0" applyFont="1" applyBorder="1" applyAlignment="1" applyProtection="1">
      <alignment vertical="top" wrapText="1"/>
    </xf>
    <xf numFmtId="0" fontId="3" fillId="0" borderId="5" xfId="0" applyFont="1" applyBorder="1" applyAlignment="1" applyProtection="1">
      <alignment horizontal="center" vertical="center" wrapText="1"/>
    </xf>
    <xf numFmtId="0" fontId="81" fillId="0" borderId="5" xfId="0" applyFont="1" applyBorder="1" applyAlignment="1" applyProtection="1">
      <alignment horizontal="center" vertical="center" wrapText="1"/>
    </xf>
    <xf numFmtId="0" fontId="3" fillId="0" borderId="5" xfId="0" applyFont="1" applyBorder="1" applyAlignment="1" applyProtection="1">
      <alignment horizontal="left" vertical="top" wrapText="1"/>
    </xf>
    <xf numFmtId="0" fontId="23" fillId="2" borderId="0" xfId="0" applyFont="1" applyFill="1" applyBorder="1" applyAlignment="1" applyProtection="1">
      <alignment horizontal="center" vertical="center" wrapText="1"/>
    </xf>
    <xf numFmtId="0" fontId="73" fillId="0" borderId="0" xfId="0" applyFont="1" applyAlignment="1" applyProtection="1">
      <alignment horizontal="right" vertical="top" wrapText="1"/>
    </xf>
    <xf numFmtId="0" fontId="3" fillId="0" borderId="0" xfId="0" applyFont="1" applyBorder="1" applyAlignment="1" applyProtection="1">
      <alignment horizontal="left" vertical="top" wrapText="1"/>
    </xf>
    <xf numFmtId="0" fontId="3" fillId="0" borderId="0" xfId="0" applyFont="1" applyAlignment="1" applyProtection="1">
      <alignment horizontal="center" vertical="top" wrapText="1"/>
    </xf>
    <xf numFmtId="0" fontId="78" fillId="0" borderId="0" xfId="0" applyFont="1" applyAlignment="1" applyProtection="1">
      <alignment horizontal="left" vertical="top" wrapText="1"/>
    </xf>
    <xf numFmtId="0" fontId="22" fillId="0" borderId="0" xfId="0" applyFont="1" applyFill="1" applyBorder="1" applyAlignment="1" applyProtection="1">
      <alignment horizontal="left" vertical="top" wrapText="1"/>
    </xf>
    <xf numFmtId="0" fontId="48" fillId="0" borderId="0" xfId="0" applyFont="1" applyFill="1" applyBorder="1" applyAlignment="1" applyProtection="1">
      <alignment horizontal="left"/>
    </xf>
    <xf numFmtId="0" fontId="78" fillId="2" borderId="0" xfId="0" applyFont="1" applyFill="1" applyBorder="1" applyAlignment="1" applyProtection="1">
      <alignment horizontal="left" vertical="center" wrapText="1"/>
    </xf>
    <xf numFmtId="0" fontId="84" fillId="0" borderId="0" xfId="0" applyFont="1" applyFill="1" applyBorder="1" applyAlignment="1" applyProtection="1">
      <alignment vertical="top" wrapText="1"/>
    </xf>
    <xf numFmtId="0" fontId="48" fillId="0" borderId="33" xfId="0" applyFont="1" applyFill="1" applyBorder="1" applyAlignment="1" applyProtection="1"/>
    <xf numFmtId="0" fontId="15" fillId="0" borderId="33" xfId="0" applyFont="1" applyFill="1" applyBorder="1" applyAlignment="1" applyProtection="1"/>
    <xf numFmtId="0" fontId="23" fillId="2" borderId="0" xfId="0" applyFont="1" applyFill="1" applyBorder="1" applyAlignment="1" applyProtection="1">
      <alignment vertical="center" wrapText="1"/>
    </xf>
    <xf numFmtId="0" fontId="93" fillId="0" borderId="2" xfId="0" applyFont="1" applyFill="1" applyBorder="1" applyAlignment="1" applyProtection="1">
      <alignment horizontal="left"/>
    </xf>
    <xf numFmtId="0" fontId="27" fillId="0" borderId="0" xfId="0" applyFont="1" applyFill="1" applyBorder="1" applyAlignment="1" applyProtection="1">
      <alignment horizontal="left" vertical="top" wrapText="1"/>
    </xf>
    <xf numFmtId="0" fontId="13" fillId="0" borderId="0" xfId="0" applyFont="1" applyFill="1" applyAlignment="1" applyProtection="1">
      <alignment horizontal="left" vertical="top" wrapText="1"/>
    </xf>
    <xf numFmtId="0" fontId="25" fillId="0" borderId="27" xfId="0" applyFont="1" applyFill="1" applyBorder="1" applyAlignment="1" applyProtection="1"/>
    <xf numFmtId="0" fontId="15" fillId="0" borderId="27" xfId="0" applyFont="1" applyFill="1" applyBorder="1" applyAlignment="1" applyProtection="1">
      <alignment horizontal="left"/>
    </xf>
    <xf numFmtId="0" fontId="22" fillId="0" borderId="27" xfId="0" applyFont="1" applyFill="1" applyBorder="1" applyAlignment="1" applyProtection="1">
      <alignment horizontal="left"/>
    </xf>
    <xf numFmtId="0" fontId="22" fillId="0" borderId="27" xfId="0" applyFont="1" applyBorder="1" applyAlignment="1" applyProtection="1">
      <alignment horizontal="left" wrapText="1"/>
    </xf>
    <xf numFmtId="0" fontId="65" fillId="0" borderId="5" xfId="0" applyFont="1" applyFill="1" applyBorder="1" applyAlignment="1" applyProtection="1">
      <alignment horizontal="center" vertical="center" wrapText="1"/>
    </xf>
    <xf numFmtId="0" fontId="94" fillId="0" borderId="5" xfId="0" applyFont="1" applyFill="1" applyBorder="1" applyAlignment="1" applyProtection="1">
      <alignment horizontal="center" vertical="center" wrapText="1"/>
    </xf>
    <xf numFmtId="0" fontId="39" fillId="0" borderId="4" xfId="0" applyFont="1" applyFill="1" applyBorder="1" applyAlignment="1" applyProtection="1"/>
    <xf numFmtId="0" fontId="50" fillId="0" borderId="22" xfId="0" applyFont="1" applyBorder="1" applyAlignment="1" applyProtection="1">
      <alignment horizontal="center" vertical="center" wrapText="1"/>
    </xf>
    <xf numFmtId="0" fontId="50" fillId="0" borderId="25" xfId="0" applyFont="1" applyBorder="1" applyAlignment="1" applyProtection="1">
      <alignment horizontal="center" vertical="center" wrapText="1"/>
    </xf>
    <xf numFmtId="0" fontId="41" fillId="0" borderId="0" xfId="0" applyFont="1" applyFill="1" applyBorder="1" applyAlignment="1" applyProtection="1"/>
    <xf numFmtId="0" fontId="25" fillId="0" borderId="0" xfId="0" applyFont="1" applyFill="1" applyBorder="1" applyAlignment="1" applyProtection="1"/>
    <xf numFmtId="0" fontId="22" fillId="0" borderId="0" xfId="0" applyFont="1" applyFill="1" applyBorder="1" applyAlignment="1" applyProtection="1">
      <alignment horizontal="left"/>
    </xf>
    <xf numFmtId="0" fontId="22" fillId="0" borderId="0" xfId="0" applyFont="1" applyBorder="1" applyAlignment="1" applyProtection="1">
      <alignment horizontal="left" wrapText="1"/>
    </xf>
    <xf numFmtId="0" fontId="13" fillId="0" borderId="5" xfId="0" applyFont="1" applyBorder="1" applyAlignment="1" applyProtection="1">
      <alignment horizontal="left" vertical="center" wrapText="1"/>
    </xf>
    <xf numFmtId="0" fontId="19" fillId="0" borderId="5" xfId="0" applyFont="1" applyBorder="1" applyAlignment="1" applyProtection="1">
      <alignment horizontal="left" vertical="center" wrapText="1"/>
    </xf>
    <xf numFmtId="0" fontId="13" fillId="0" borderId="0" xfId="0" applyFont="1" applyAlignment="1" applyProtection="1">
      <alignment horizontal="left" vertical="center" wrapText="1"/>
    </xf>
    <xf numFmtId="0" fontId="24" fillId="0" borderId="3" xfId="0" applyFont="1" applyBorder="1" applyAlignment="1" applyProtection="1"/>
    <xf numFmtId="0" fontId="45" fillId="0" borderId="0" xfId="0" applyFont="1" applyFill="1" applyBorder="1" applyAlignment="1" applyProtection="1">
      <alignment horizontal="left" vertical="top"/>
    </xf>
    <xf numFmtId="0" fontId="13" fillId="0" borderId="4" xfId="0" applyFont="1" applyBorder="1" applyAlignment="1" applyProtection="1">
      <alignment vertical="center" wrapText="1"/>
    </xf>
    <xf numFmtId="0" fontId="13" fillId="0" borderId="0" xfId="0" applyFont="1" applyBorder="1" applyAlignment="1" applyProtection="1">
      <alignment vertical="center" wrapText="1"/>
    </xf>
    <xf numFmtId="0" fontId="13" fillId="0" borderId="0" xfId="0" applyFont="1" applyFill="1" applyBorder="1" applyAlignment="1" applyProtection="1">
      <alignment vertical="top" wrapText="1"/>
    </xf>
    <xf numFmtId="0" fontId="3" fillId="0" borderId="6" xfId="0" applyFont="1" applyBorder="1" applyAlignment="1" applyProtection="1">
      <alignment vertical="center" wrapText="1"/>
    </xf>
    <xf numFmtId="0" fontId="13" fillId="0" borderId="0" xfId="0" applyFont="1" applyAlignment="1" applyProtection="1">
      <alignment vertical="center" wrapText="1"/>
    </xf>
    <xf numFmtId="0" fontId="9" fillId="0" borderId="0" xfId="0" applyFont="1" applyFill="1" applyBorder="1" applyAlignment="1" applyProtection="1"/>
    <xf numFmtId="0" fontId="39" fillId="0" borderId="0" xfId="0" applyFont="1" applyFill="1" applyBorder="1" applyAlignment="1" applyProtection="1"/>
    <xf numFmtId="0" fontId="14" fillId="5" borderId="34" xfId="0" applyFont="1" applyFill="1" applyBorder="1" applyAlignment="1" applyProtection="1">
      <alignment horizontal="left" vertical="top" wrapText="1"/>
    </xf>
    <xf numFmtId="49" fontId="51" fillId="0" borderId="0" xfId="0" applyNumberFormat="1" applyFont="1" applyFill="1" applyBorder="1" applyAlignment="1" applyProtection="1">
      <alignment horizontal="left" vertical="top" wrapText="1"/>
    </xf>
    <xf numFmtId="0" fontId="9" fillId="0" borderId="5" xfId="0" applyFont="1" applyFill="1" applyBorder="1" applyAlignment="1" applyProtection="1"/>
    <xf numFmtId="0" fontId="3" fillId="0" borderId="16" xfId="0" applyFont="1" applyBorder="1" applyAlignment="1" applyProtection="1">
      <alignment wrapText="1"/>
    </xf>
    <xf numFmtId="0" fontId="9" fillId="0" borderId="14" xfId="0" applyFont="1" applyFill="1" applyBorder="1" applyAlignment="1" applyProtection="1"/>
    <xf numFmtId="0" fontId="14" fillId="5" borderId="0" xfId="0" applyFont="1" applyFill="1" applyBorder="1" applyAlignment="1" applyProtection="1">
      <alignment horizontal="center" vertical="top" wrapText="1"/>
    </xf>
    <xf numFmtId="0" fontId="13" fillId="0" borderId="42" xfId="0" applyFont="1" applyFill="1" applyBorder="1" applyAlignment="1" applyProtection="1">
      <alignment horizontal="center" vertical="top" wrapText="1"/>
      <protection locked="0"/>
    </xf>
    <xf numFmtId="0" fontId="13" fillId="4" borderId="41" xfId="0" applyFont="1" applyFill="1" applyBorder="1" applyAlignment="1" applyProtection="1">
      <alignment horizontal="center" vertical="top" wrapText="1"/>
      <protection locked="0"/>
    </xf>
    <xf numFmtId="0" fontId="13" fillId="4" borderId="42" xfId="0" applyFont="1" applyFill="1" applyBorder="1" applyAlignment="1" applyProtection="1">
      <alignment horizontal="center" vertical="top" wrapText="1"/>
      <protection locked="0"/>
    </xf>
    <xf numFmtId="0" fontId="13" fillId="4" borderId="43" xfId="0" applyFont="1" applyFill="1" applyBorder="1" applyAlignment="1" applyProtection="1">
      <alignment horizontal="center" vertical="top" wrapText="1"/>
      <protection locked="0"/>
    </xf>
    <xf numFmtId="0" fontId="40" fillId="0" borderId="4"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0" fontId="40" fillId="0" borderId="8" xfId="0" applyFont="1" applyBorder="1" applyAlignment="1" applyProtection="1">
      <alignment horizontal="center" vertical="center" wrapText="1"/>
    </xf>
    <xf numFmtId="0" fontId="40" fillId="0" borderId="4" xfId="0" applyFont="1" applyBorder="1" applyAlignment="1" applyProtection="1">
      <alignment horizontal="center" vertical="center" wrapText="1"/>
    </xf>
    <xf numFmtId="0" fontId="59" fillId="0" borderId="13" xfId="0" applyFont="1" applyFill="1" applyBorder="1" applyAlignment="1" applyProtection="1">
      <alignment horizontal="center" vertical="center" wrapText="1"/>
    </xf>
    <xf numFmtId="0" fontId="59" fillId="0" borderId="20" xfId="0" applyFont="1" applyFill="1" applyBorder="1" applyAlignment="1" applyProtection="1">
      <alignment horizontal="center" vertical="center" wrapText="1"/>
    </xf>
    <xf numFmtId="0" fontId="59" fillId="0" borderId="45" xfId="0" applyFont="1" applyFill="1" applyBorder="1" applyAlignment="1" applyProtection="1">
      <alignment horizontal="center" vertical="center" wrapText="1"/>
    </xf>
    <xf numFmtId="0" fontId="59" fillId="0" borderId="46" xfId="0" applyFont="1" applyBorder="1" applyAlignment="1" applyProtection="1">
      <alignment horizontal="center" vertical="center" wrapText="1"/>
    </xf>
    <xf numFmtId="0" fontId="59" fillId="0" borderId="45" xfId="0" applyFont="1" applyBorder="1" applyAlignment="1" applyProtection="1">
      <alignment horizontal="center" vertical="center" wrapText="1"/>
    </xf>
    <xf numFmtId="0" fontId="59" fillId="0" borderId="18" xfId="0" applyFont="1" applyFill="1" applyBorder="1" applyAlignment="1" applyProtection="1">
      <alignment horizontal="center" vertical="center" wrapText="1"/>
    </xf>
    <xf numFmtId="0" fontId="59" fillId="0" borderId="15" xfId="0" applyFont="1" applyFill="1" applyBorder="1" applyAlignment="1" applyProtection="1">
      <alignment horizontal="center" vertical="center" wrapText="1"/>
    </xf>
    <xf numFmtId="0" fontId="59" fillId="0" borderId="47" xfId="0" applyFont="1" applyBorder="1" applyAlignment="1" applyProtection="1">
      <alignment horizontal="center" vertical="center" wrapText="1"/>
    </xf>
    <xf numFmtId="0" fontId="59" fillId="0" borderId="48" xfId="0" applyFont="1" applyFill="1" applyBorder="1" applyAlignment="1" applyProtection="1">
      <alignment horizontal="center" vertical="center" wrapText="1"/>
    </xf>
    <xf numFmtId="0" fontId="52" fillId="0" borderId="49" xfId="0" applyFont="1" applyBorder="1" applyAlignment="1" applyProtection="1">
      <alignment horizontal="center" vertical="center" wrapText="1"/>
    </xf>
    <xf numFmtId="0" fontId="59" fillId="0" borderId="10" xfId="0" applyFont="1" applyFill="1" applyBorder="1" applyAlignment="1" applyProtection="1">
      <alignment horizontal="center" vertical="center" wrapText="1"/>
    </xf>
    <xf numFmtId="0" fontId="52" fillId="0" borderId="45" xfId="0" applyFont="1" applyBorder="1" applyAlignment="1" applyProtection="1">
      <alignment horizontal="center" vertical="center" wrapText="1"/>
    </xf>
    <xf numFmtId="0" fontId="52" fillId="0" borderId="47" xfId="0" applyFont="1" applyBorder="1" applyAlignment="1" applyProtection="1">
      <alignment horizontal="center" vertical="center" wrapText="1"/>
    </xf>
    <xf numFmtId="0" fontId="52" fillId="0" borderId="1" xfId="0" applyFont="1" applyBorder="1" applyAlignment="1" applyProtection="1">
      <alignment horizontal="center" vertical="center" wrapText="1"/>
    </xf>
    <xf numFmtId="0" fontId="59" fillId="0" borderId="2" xfId="0" applyFont="1" applyFill="1" applyBorder="1" applyAlignment="1" applyProtection="1">
      <alignment horizontal="center" vertical="center" wrapText="1"/>
    </xf>
    <xf numFmtId="0" fontId="52" fillId="0" borderId="18" xfId="0" applyFont="1" applyBorder="1" applyAlignment="1" applyProtection="1">
      <alignment horizontal="center" vertical="center" wrapText="1"/>
    </xf>
    <xf numFmtId="0" fontId="65" fillId="0" borderId="19" xfId="0" applyFont="1" applyBorder="1" applyAlignment="1" applyProtection="1">
      <alignment horizontal="left" vertical="center" wrapText="1"/>
      <protection locked="0"/>
    </xf>
    <xf numFmtId="0" fontId="50" fillId="0" borderId="18" xfId="0" applyFont="1" applyFill="1" applyBorder="1" applyAlignment="1" applyProtection="1">
      <alignment vertical="center"/>
    </xf>
    <xf numFmtId="0" fontId="50" fillId="0" borderId="15" xfId="0" applyFont="1" applyFill="1" applyBorder="1" applyAlignment="1" applyProtection="1">
      <alignment horizontal="left" vertical="center" wrapText="1"/>
    </xf>
    <xf numFmtId="0" fontId="50" fillId="0" borderId="15" xfId="0" applyFont="1" applyFill="1" applyBorder="1" applyAlignment="1" applyProtection="1">
      <alignment horizontal="left" vertical="center"/>
    </xf>
    <xf numFmtId="0" fontId="50" fillId="0" borderId="15" xfId="0" applyFont="1" applyFill="1" applyBorder="1" applyAlignment="1" applyProtection="1">
      <alignment horizontal="center" vertical="center" wrapText="1"/>
    </xf>
    <xf numFmtId="0" fontId="50" fillId="0" borderId="19" xfId="0" applyFont="1" applyFill="1" applyBorder="1" applyAlignment="1" applyProtection="1">
      <alignment horizontal="left" vertical="center"/>
    </xf>
    <xf numFmtId="0" fontId="11" fillId="9" borderId="0" xfId="0" applyFont="1" applyFill="1" applyAlignment="1">
      <alignment horizontal="left"/>
    </xf>
    <xf numFmtId="0" fontId="59" fillId="0" borderId="47" xfId="0" applyFont="1" applyFill="1" applyBorder="1" applyAlignment="1" applyProtection="1">
      <alignment horizontal="center" vertical="center" wrapText="1"/>
    </xf>
    <xf numFmtId="0" fontId="46" fillId="0" borderId="18" xfId="0" applyFont="1" applyFill="1" applyBorder="1" applyAlignment="1" applyProtection="1">
      <alignment vertical="center"/>
    </xf>
    <xf numFmtId="0" fontId="46" fillId="0" borderId="15" xfId="0" applyFont="1" applyFill="1" applyBorder="1" applyAlignment="1" applyProtection="1">
      <alignment horizontal="left" vertical="center" wrapText="1"/>
    </xf>
    <xf numFmtId="0" fontId="46" fillId="0" borderId="15" xfId="0" applyFont="1" applyFill="1" applyBorder="1" applyAlignment="1" applyProtection="1">
      <alignment horizontal="left" vertical="center"/>
    </xf>
    <xf numFmtId="0" fontId="46" fillId="0" borderId="15" xfId="0" applyFont="1" applyFill="1" applyBorder="1" applyAlignment="1" applyProtection="1">
      <alignment horizontal="center" vertical="center" wrapText="1"/>
    </xf>
    <xf numFmtId="0" fontId="46" fillId="0" borderId="19" xfId="0" applyFont="1" applyFill="1" applyBorder="1" applyAlignment="1" applyProtection="1">
      <alignment horizontal="left" vertical="center"/>
    </xf>
    <xf numFmtId="0" fontId="70" fillId="0" borderId="17" xfId="0" applyFont="1" applyBorder="1" applyAlignment="1" applyProtection="1">
      <alignment horizontal="center" vertical="center" wrapText="1"/>
    </xf>
    <xf numFmtId="0" fontId="59" fillId="0" borderId="18" xfId="0" applyFont="1" applyBorder="1" applyAlignment="1" applyProtection="1">
      <alignment horizontal="center" vertical="center" wrapText="1"/>
    </xf>
    <xf numFmtId="0" fontId="6" fillId="0" borderId="4" xfId="0" applyFont="1" applyFill="1" applyBorder="1" applyAlignment="1" applyProtection="1">
      <alignment vertical="center" wrapText="1"/>
    </xf>
    <xf numFmtId="0" fontId="59" fillId="0" borderId="12" xfId="0" applyFont="1" applyBorder="1" applyAlignment="1" applyProtection="1">
      <alignment horizontal="left" vertical="center" wrapText="1"/>
    </xf>
    <xf numFmtId="0" fontId="59" fillId="0" borderId="12"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59" fillId="0" borderId="20" xfId="0" applyFont="1" applyFill="1" applyBorder="1" applyAlignment="1" applyProtection="1">
      <alignment horizontal="left" vertical="center" wrapText="1"/>
    </xf>
    <xf numFmtId="0" fontId="59" fillId="0" borderId="20" xfId="0" applyFont="1" applyBorder="1" applyAlignment="1" applyProtection="1">
      <alignment horizontal="left" vertical="center" wrapText="1"/>
    </xf>
    <xf numFmtId="0" fontId="59" fillId="0" borderId="48" xfId="0" applyFont="1" applyBorder="1" applyAlignment="1" applyProtection="1">
      <alignment horizontal="left" vertical="center" wrapText="1"/>
    </xf>
    <xf numFmtId="0" fontId="59" fillId="0" borderId="48" xfId="0" applyFont="1" applyFill="1" applyBorder="1" applyAlignment="1" applyProtection="1">
      <alignment horizontal="left" vertical="center" wrapText="1"/>
    </xf>
    <xf numFmtId="0" fontId="59" fillId="0" borderId="15" xfId="0" applyFont="1" applyFill="1" applyBorder="1" applyAlignment="1" applyProtection="1">
      <alignment horizontal="left" vertical="center" wrapText="1"/>
    </xf>
    <xf numFmtId="0" fontId="69" fillId="12" borderId="17" xfId="0" applyFont="1" applyFill="1" applyBorder="1" applyAlignment="1" applyProtection="1">
      <alignment horizontal="center" vertical="center" wrapText="1"/>
    </xf>
    <xf numFmtId="0" fontId="24" fillId="0" borderId="0" xfId="0" applyFont="1" applyBorder="1" applyAlignment="1" applyProtection="1"/>
    <xf numFmtId="0" fontId="24" fillId="0" borderId="0" xfId="0" applyFont="1" applyBorder="1" applyAlignment="1" applyProtection="1">
      <alignment horizontal="left"/>
    </xf>
    <xf numFmtId="0" fontId="77" fillId="0" borderId="0" xfId="0" applyFont="1" applyFill="1" applyBorder="1" applyAlignment="1" applyProtection="1">
      <alignment horizontal="left" vertical="top" wrapText="1"/>
    </xf>
    <xf numFmtId="0" fontId="28" fillId="2" borderId="0" xfId="0" applyFont="1" applyFill="1" applyBorder="1" applyAlignment="1">
      <alignment horizontal="left" vertical="center"/>
    </xf>
    <xf numFmtId="0" fontId="110" fillId="0" borderId="0" xfId="0" applyFont="1" applyFill="1" applyAlignment="1">
      <alignment horizontal="left" vertical="top"/>
    </xf>
    <xf numFmtId="0" fontId="22" fillId="0" borderId="0" xfId="0" applyFont="1" applyFill="1" applyBorder="1" applyAlignment="1" applyProtection="1">
      <alignment horizontal="left" vertical="center"/>
    </xf>
    <xf numFmtId="0" fontId="24" fillId="0" borderId="2" xfId="0" applyFont="1" applyBorder="1" applyAlignment="1" applyProtection="1">
      <alignment horizontal="center"/>
    </xf>
    <xf numFmtId="0" fontId="59" fillId="0" borderId="0" xfId="0" applyFont="1" applyBorder="1" applyAlignment="1" applyProtection="1">
      <alignment horizontal="center" vertical="top" wrapText="1"/>
    </xf>
    <xf numFmtId="0" fontId="13" fillId="0" borderId="0" xfId="0" applyFont="1" applyBorder="1" applyAlignment="1" applyProtection="1">
      <alignment horizontal="center" vertical="top" wrapText="1"/>
    </xf>
    <xf numFmtId="0" fontId="79" fillId="0" borderId="0" xfId="0" applyFont="1" applyAlignment="1" applyProtection="1">
      <alignment horizontal="center" vertical="center" wrapText="1"/>
    </xf>
    <xf numFmtId="0" fontId="53" fillId="0" borderId="0" xfId="0" applyFont="1" applyFill="1" applyBorder="1" applyAlignment="1">
      <alignment horizontal="center" vertical="center"/>
    </xf>
    <xf numFmtId="0" fontId="53" fillId="0" borderId="0" xfId="0" applyFont="1" applyFill="1" applyBorder="1" applyAlignment="1">
      <alignment vertical="center"/>
    </xf>
    <xf numFmtId="0" fontId="53" fillId="0" borderId="0" xfId="0" applyFont="1" applyFill="1" applyBorder="1" applyAlignment="1">
      <alignment horizontal="left" vertical="center"/>
    </xf>
    <xf numFmtId="0" fontId="53" fillId="0" borderId="0" xfId="0" applyFont="1" applyFill="1" applyBorder="1" applyAlignment="1">
      <alignment horizontal="center" vertical="center" wrapText="1"/>
    </xf>
    <xf numFmtId="0" fontId="53" fillId="0" borderId="0" xfId="0" applyFont="1"/>
    <xf numFmtId="0" fontId="53" fillId="0" borderId="0" xfId="0" applyFont="1" applyAlignment="1">
      <alignment horizontal="center"/>
    </xf>
    <xf numFmtId="0" fontId="54" fillId="2" borderId="41" xfId="0" applyFont="1" applyFill="1" applyBorder="1" applyAlignment="1">
      <alignment horizontal="center" vertical="center"/>
    </xf>
    <xf numFmtId="0" fontId="54" fillId="2" borderId="42" xfId="0" applyFont="1" applyFill="1" applyBorder="1" applyAlignment="1">
      <alignment horizontal="center" vertical="center"/>
    </xf>
    <xf numFmtId="0" fontId="54" fillId="0" borderId="54" xfId="0" applyFont="1" applyBorder="1" applyAlignment="1">
      <alignment horizontal="left"/>
    </xf>
    <xf numFmtId="0" fontId="54" fillId="0" borderId="57" xfId="0" applyFont="1" applyBorder="1" applyAlignment="1">
      <alignment horizontal="left"/>
    </xf>
    <xf numFmtId="0" fontId="53" fillId="2" borderId="42" xfId="0" applyFont="1" applyFill="1" applyBorder="1" applyAlignment="1">
      <alignment horizontal="center" vertical="center" wrapText="1"/>
    </xf>
    <xf numFmtId="0" fontId="53" fillId="2" borderId="42" xfId="0" applyFont="1" applyFill="1" applyBorder="1" applyAlignment="1">
      <alignment horizontal="center" vertical="center"/>
    </xf>
    <xf numFmtId="0" fontId="53" fillId="2" borderId="43" xfId="0" applyFont="1" applyFill="1" applyBorder="1" applyAlignment="1">
      <alignment horizontal="center" vertical="center"/>
    </xf>
    <xf numFmtId="0" fontId="111" fillId="0" borderId="40" xfId="0" quotePrefix="1" applyFont="1" applyBorder="1" applyAlignment="1">
      <alignment horizontal="center" vertical="center"/>
    </xf>
    <xf numFmtId="0" fontId="53" fillId="2" borderId="51" xfId="0" applyFont="1" applyFill="1" applyBorder="1" applyAlignment="1">
      <alignment horizontal="center" vertical="center" wrapText="1"/>
    </xf>
    <xf numFmtId="0" fontId="53" fillId="2" borderId="53" xfId="0" applyFont="1" applyFill="1" applyBorder="1" applyAlignment="1">
      <alignment horizontal="center" vertical="center" wrapText="1"/>
    </xf>
    <xf numFmtId="0" fontId="54" fillId="0" borderId="0" xfId="0" applyFont="1" applyBorder="1" applyAlignment="1">
      <alignment horizontal="left"/>
    </xf>
    <xf numFmtId="0" fontId="54" fillId="2" borderId="59" xfId="0" applyFont="1" applyFill="1" applyBorder="1" applyAlignment="1">
      <alignment horizontal="center" vertical="center"/>
    </xf>
    <xf numFmtId="0" fontId="54" fillId="2" borderId="60" xfId="0" applyFont="1" applyFill="1" applyBorder="1" applyAlignment="1">
      <alignment horizontal="center" vertical="center"/>
    </xf>
    <xf numFmtId="0" fontId="54" fillId="2" borderId="61" xfId="0" applyFont="1" applyFill="1" applyBorder="1" applyAlignment="1">
      <alignment horizontal="center" vertical="center"/>
    </xf>
    <xf numFmtId="0" fontId="78" fillId="0" borderId="0" xfId="0" applyFont="1" applyFill="1" applyBorder="1" applyAlignment="1" applyProtection="1">
      <alignment horizontal="left" vertical="center" wrapText="1"/>
    </xf>
    <xf numFmtId="0" fontId="56" fillId="0" borderId="0" xfId="3" applyFill="1" applyBorder="1" applyAlignment="1" applyProtection="1">
      <alignment horizontal="left" vertical="center"/>
    </xf>
    <xf numFmtId="0" fontId="22" fillId="0" borderId="0" xfId="0" applyFont="1" applyFill="1" applyBorder="1" applyAlignment="1" applyProtection="1">
      <alignment horizontal="left" vertical="center" wrapText="1"/>
    </xf>
    <xf numFmtId="0" fontId="78" fillId="0" borderId="0" xfId="0" applyFont="1" applyFill="1" applyBorder="1" applyAlignment="1" applyProtection="1">
      <alignment horizontal="left" vertical="top" wrapText="1"/>
    </xf>
    <xf numFmtId="49" fontId="51" fillId="0" borderId="0" xfId="0" applyNumberFormat="1" applyFont="1" applyFill="1" applyBorder="1" applyAlignment="1" applyProtection="1">
      <alignment vertical="top" wrapText="1"/>
    </xf>
    <xf numFmtId="0" fontId="9" fillId="0" borderId="0" xfId="0" applyFont="1" applyFill="1" applyBorder="1" applyAlignment="1" applyProtection="1">
      <alignment horizontal="center"/>
    </xf>
    <xf numFmtId="0" fontId="13" fillId="0" borderId="53" xfId="0" applyFont="1" applyFill="1" applyBorder="1" applyAlignment="1" applyProtection="1">
      <alignment horizontal="center" vertical="top" wrapText="1"/>
      <protection locked="0"/>
    </xf>
    <xf numFmtId="0" fontId="10" fillId="0" borderId="2" xfId="0" applyFont="1" applyBorder="1" applyAlignment="1" applyProtection="1">
      <alignment horizontal="center" wrapText="1"/>
    </xf>
    <xf numFmtId="49" fontId="5" fillId="0" borderId="0" xfId="0" applyNumberFormat="1" applyFont="1" applyFill="1" applyBorder="1" applyAlignment="1" applyProtection="1">
      <alignment horizontal="left" vertical="top" wrapText="1"/>
    </xf>
    <xf numFmtId="0" fontId="47" fillId="0" borderId="0" xfId="0" applyFont="1" applyFill="1" applyBorder="1" applyAlignment="1" applyProtection="1">
      <alignment vertical="center" wrapText="1"/>
    </xf>
    <xf numFmtId="0" fontId="47" fillId="0" borderId="0" xfId="0" applyFont="1" applyFill="1" applyBorder="1" applyAlignment="1" applyProtection="1">
      <alignment vertical="center"/>
    </xf>
    <xf numFmtId="0" fontId="13" fillId="0" borderId="0" xfId="0" applyFont="1" applyBorder="1" applyAlignment="1" applyProtection="1">
      <alignment horizontal="center" vertical="top"/>
    </xf>
    <xf numFmtId="0" fontId="13" fillId="0" borderId="0" xfId="0" applyFont="1" applyFill="1" applyBorder="1" applyAlignment="1" applyProtection="1">
      <alignment horizontal="center" vertical="top" wrapText="1"/>
      <protection locked="0"/>
    </xf>
    <xf numFmtId="0" fontId="4" fillId="0" borderId="0" xfId="0" applyFont="1" applyFill="1" applyBorder="1" applyAlignment="1" applyProtection="1">
      <alignment horizontal="left"/>
      <protection locked="0"/>
    </xf>
    <xf numFmtId="0" fontId="65" fillId="0" borderId="21" xfId="0" applyFont="1" applyFill="1" applyBorder="1" applyAlignment="1" applyProtection="1">
      <alignment horizontal="left" vertical="center" wrapText="1"/>
      <protection locked="0"/>
    </xf>
    <xf numFmtId="0" fontId="65" fillId="0" borderId="62" xfId="0" applyFont="1" applyFill="1" applyBorder="1" applyAlignment="1" applyProtection="1">
      <alignment horizontal="left" vertical="center" wrapText="1"/>
      <protection locked="0"/>
    </xf>
    <xf numFmtId="0" fontId="65" fillId="0" borderId="25" xfId="0" applyFont="1" applyBorder="1" applyAlignment="1" applyProtection="1">
      <alignment horizontal="left" vertical="center" wrapText="1"/>
      <protection locked="0"/>
    </xf>
    <xf numFmtId="0" fontId="65" fillId="0" borderId="21" xfId="0" applyFont="1" applyBorder="1" applyAlignment="1" applyProtection="1">
      <alignment horizontal="left" vertical="center" wrapText="1"/>
      <protection locked="0"/>
    </xf>
    <xf numFmtId="0" fontId="65" fillId="0" borderId="62" xfId="0" applyFont="1" applyBorder="1" applyAlignment="1" applyProtection="1">
      <alignment horizontal="left" vertical="center" wrapText="1"/>
      <protection locked="0"/>
    </xf>
    <xf numFmtId="0" fontId="65" fillId="0" borderId="63" xfId="0" applyFont="1" applyFill="1" applyBorder="1" applyAlignment="1" applyProtection="1">
      <alignment horizontal="left" vertical="center" wrapText="1"/>
      <protection locked="0"/>
    </xf>
    <xf numFmtId="0" fontId="65" fillId="0" borderId="25" xfId="0" applyFont="1" applyFill="1" applyBorder="1" applyAlignment="1" applyProtection="1">
      <alignment horizontal="left" vertical="center" wrapText="1"/>
      <protection locked="0"/>
    </xf>
    <xf numFmtId="0" fontId="65" fillId="0" borderId="64" xfId="0" applyFont="1" applyFill="1" applyBorder="1" applyAlignment="1" applyProtection="1">
      <alignment horizontal="left" vertical="center" wrapText="1"/>
      <protection locked="0"/>
    </xf>
    <xf numFmtId="0" fontId="65" fillId="0" borderId="65" xfId="0" applyFont="1" applyFill="1" applyBorder="1" applyAlignment="1" applyProtection="1">
      <alignment horizontal="left" vertical="center" wrapText="1"/>
      <protection locked="0"/>
    </xf>
    <xf numFmtId="0" fontId="65" fillId="0" borderId="66" xfId="0" applyFont="1" applyFill="1" applyBorder="1" applyAlignment="1" applyProtection="1">
      <alignment horizontal="left" vertical="center" wrapText="1"/>
      <protection locked="0"/>
    </xf>
    <xf numFmtId="0" fontId="65" fillId="0" borderId="67" xfId="0" applyFont="1" applyFill="1" applyBorder="1" applyAlignment="1" applyProtection="1">
      <alignment horizontal="left" vertical="center" wrapText="1"/>
      <protection locked="0"/>
    </xf>
    <xf numFmtId="0" fontId="65" fillId="0" borderId="64" xfId="0" applyFont="1" applyBorder="1" applyAlignment="1" applyProtection="1">
      <alignment horizontal="left" vertical="center" wrapText="1"/>
      <protection locked="0"/>
    </xf>
    <xf numFmtId="0" fontId="65" fillId="0" borderId="65" xfId="0" applyFont="1" applyBorder="1" applyAlignment="1" applyProtection="1">
      <alignment horizontal="left" vertical="center" wrapText="1"/>
      <protection locked="0"/>
    </xf>
    <xf numFmtId="0" fontId="65" fillId="0" borderId="67" xfId="0" applyFont="1" applyBorder="1" applyAlignment="1" applyProtection="1">
      <alignment horizontal="left" vertical="center" wrapText="1"/>
      <protection locked="0"/>
    </xf>
    <xf numFmtId="0" fontId="65" fillId="0" borderId="69" xfId="0" applyFont="1" applyBorder="1" applyAlignment="1" applyProtection="1">
      <alignment horizontal="left" vertical="center" wrapText="1"/>
      <protection locked="0"/>
    </xf>
    <xf numFmtId="0" fontId="65" fillId="0" borderId="70" xfId="0" applyFont="1" applyBorder="1" applyAlignment="1" applyProtection="1">
      <alignment horizontal="left" vertical="center" wrapText="1"/>
      <protection locked="0"/>
    </xf>
    <xf numFmtId="0" fontId="65" fillId="0" borderId="68" xfId="0" applyFont="1" applyFill="1" applyBorder="1" applyAlignment="1" applyProtection="1">
      <alignment horizontal="left" vertical="center" wrapText="1"/>
      <protection locked="0"/>
    </xf>
    <xf numFmtId="0" fontId="40" fillId="0" borderId="17" xfId="0" applyFont="1" applyBorder="1" applyAlignment="1" applyProtection="1">
      <alignment horizontal="center" vertical="center" wrapText="1"/>
    </xf>
    <xf numFmtId="0" fontId="59" fillId="0" borderId="0" xfId="0" applyFont="1" applyFill="1" applyBorder="1" applyAlignment="1" applyProtection="1">
      <alignment horizontal="left" vertical="top" wrapText="1"/>
    </xf>
    <xf numFmtId="0" fontId="48" fillId="0" borderId="0" xfId="0" applyFont="1" applyFill="1" applyBorder="1" applyAlignment="1" applyProtection="1">
      <alignment horizontal="right" vertical="center" wrapText="1"/>
    </xf>
    <xf numFmtId="0" fontId="48" fillId="0" borderId="0" xfId="0" applyFont="1" applyFill="1" applyBorder="1" applyAlignment="1" applyProtection="1">
      <alignment horizontal="right" vertical="top" wrapText="1"/>
    </xf>
    <xf numFmtId="0" fontId="9" fillId="2" borderId="2" xfId="0" applyFont="1" applyFill="1" applyBorder="1" applyAlignment="1" applyProtection="1">
      <alignment horizontal="left" vertical="center"/>
    </xf>
    <xf numFmtId="0" fontId="9" fillId="2" borderId="4" xfId="0" applyFont="1" applyFill="1" applyBorder="1" applyAlignment="1" applyProtection="1">
      <alignment horizontal="left" vertical="center"/>
    </xf>
    <xf numFmtId="0" fontId="50" fillId="0" borderId="5" xfId="0" applyFont="1" applyFill="1" applyBorder="1" applyAlignment="1" applyProtection="1">
      <alignment horizontal="center" vertical="center"/>
    </xf>
    <xf numFmtId="0" fontId="47" fillId="0" borderId="1" xfId="0" applyFont="1" applyBorder="1" applyAlignment="1" applyProtection="1">
      <alignment vertical="top"/>
    </xf>
    <xf numFmtId="0" fontId="51" fillId="0" borderId="0" xfId="0" applyFont="1" applyFill="1" applyBorder="1" applyAlignment="1" applyProtection="1">
      <alignment horizontal="center"/>
    </xf>
    <xf numFmtId="0" fontId="59" fillId="0" borderId="15" xfId="0" applyFont="1" applyBorder="1" applyAlignment="1" applyProtection="1">
      <alignment vertical="center" wrapText="1"/>
    </xf>
    <xf numFmtId="0" fontId="59" fillId="0" borderId="20" xfId="0" applyFont="1" applyBorder="1" applyAlignment="1" applyProtection="1">
      <alignment vertical="center" wrapText="1"/>
    </xf>
    <xf numFmtId="0" fontId="59" fillId="0" borderId="12" xfId="0" applyFont="1" applyBorder="1" applyAlignment="1" applyProtection="1">
      <alignment vertical="center" wrapText="1"/>
    </xf>
    <xf numFmtId="0" fontId="59" fillId="0" borderId="12" xfId="0" applyFont="1" applyFill="1" applyBorder="1" applyAlignment="1" applyProtection="1">
      <alignment vertical="center" wrapText="1"/>
    </xf>
    <xf numFmtId="0" fontId="59" fillId="0" borderId="13" xfId="0" applyFont="1" applyFill="1" applyBorder="1" applyAlignment="1" applyProtection="1">
      <alignment vertical="center" wrapText="1"/>
    </xf>
    <xf numFmtId="0" fontId="59" fillId="0" borderId="20" xfId="0" applyFont="1" applyFill="1" applyBorder="1" applyAlignment="1" applyProtection="1">
      <alignment vertical="center" wrapText="1"/>
    </xf>
    <xf numFmtId="0" fontId="59" fillId="0" borderId="48" xfId="0" applyFont="1" applyFill="1" applyBorder="1" applyAlignment="1" applyProtection="1">
      <alignment vertical="center" wrapText="1"/>
    </xf>
    <xf numFmtId="0" fontId="59" fillId="0" borderId="2" xfId="0" applyFont="1" applyBorder="1" applyAlignment="1" applyProtection="1">
      <alignment vertical="center" wrapText="1"/>
    </xf>
    <xf numFmtId="0" fontId="59" fillId="0" borderId="48" xfId="0" applyFont="1" applyBorder="1" applyAlignment="1" applyProtection="1">
      <alignment vertical="center" wrapText="1"/>
    </xf>
    <xf numFmtId="0" fontId="59" fillId="0" borderId="10" xfId="0" applyFont="1" applyBorder="1" applyAlignment="1" applyProtection="1">
      <alignment vertical="center" wrapText="1"/>
    </xf>
    <xf numFmtId="0" fontId="23" fillId="2" borderId="2" xfId="0" applyFont="1" applyFill="1" applyBorder="1" applyAlignment="1" applyProtection="1">
      <alignment horizontal="left" vertical="center" wrapText="1"/>
    </xf>
    <xf numFmtId="0" fontId="50" fillId="0" borderId="69" xfId="0" applyFont="1" applyFill="1" applyBorder="1" applyAlignment="1" applyProtection="1">
      <alignment horizontal="left" vertical="center"/>
    </xf>
    <xf numFmtId="0" fontId="50" fillId="0" borderId="70" xfId="0" applyFont="1" applyFill="1" applyBorder="1" applyAlignment="1" applyProtection="1">
      <alignment horizontal="left" vertical="center"/>
    </xf>
    <xf numFmtId="0" fontId="50" fillId="0" borderId="76" xfId="0" applyFont="1" applyFill="1" applyBorder="1" applyAlignment="1" applyProtection="1">
      <alignment horizontal="left" vertical="center"/>
    </xf>
    <xf numFmtId="0" fontId="65" fillId="0" borderId="77" xfId="0" applyFont="1" applyFill="1" applyBorder="1" applyAlignment="1" applyProtection="1">
      <alignment horizontal="left" vertical="center" wrapText="1"/>
      <protection locked="0"/>
    </xf>
    <xf numFmtId="0" fontId="65" fillId="0" borderId="78" xfId="0" applyFont="1" applyBorder="1" applyAlignment="1" applyProtection="1">
      <alignment horizontal="left" vertical="center" wrapText="1"/>
      <protection locked="0"/>
    </xf>
    <xf numFmtId="0" fontId="65" fillId="0" borderId="79" xfId="0" applyFont="1" applyFill="1" applyBorder="1" applyAlignment="1" applyProtection="1">
      <alignment horizontal="left" vertical="center" wrapText="1"/>
      <protection locked="0"/>
    </xf>
    <xf numFmtId="0" fontId="65" fillId="0" borderId="80" xfId="0" applyFont="1" applyBorder="1" applyAlignment="1" applyProtection="1">
      <alignment horizontal="left" vertical="center" wrapText="1"/>
      <protection locked="0"/>
    </xf>
    <xf numFmtId="0" fontId="65" fillId="0" borderId="81" xfId="0" applyFont="1" applyFill="1" applyBorder="1" applyAlignment="1" applyProtection="1">
      <alignment horizontal="left" vertical="center" wrapText="1"/>
      <protection locked="0"/>
    </xf>
    <xf numFmtId="0" fontId="65" fillId="0" borderId="82" xfId="0" applyFont="1" applyBorder="1" applyAlignment="1" applyProtection="1">
      <alignment horizontal="left" vertical="center" wrapText="1"/>
      <protection locked="0"/>
    </xf>
    <xf numFmtId="0" fontId="65" fillId="0" borderId="69" xfId="0" applyFont="1" applyFill="1" applyBorder="1" applyAlignment="1" applyProtection="1">
      <alignment horizontal="left" vertical="center" wrapText="1"/>
      <protection locked="0"/>
    </xf>
    <xf numFmtId="0" fontId="65" fillId="0" borderId="70" xfId="0" applyFont="1" applyFill="1" applyBorder="1" applyAlignment="1" applyProtection="1">
      <alignment horizontal="left" vertical="center" wrapText="1"/>
      <protection locked="0"/>
    </xf>
    <xf numFmtId="0" fontId="65" fillId="0" borderId="23" xfId="0" applyFont="1" applyFill="1" applyBorder="1" applyAlignment="1" applyProtection="1">
      <alignment horizontal="left" vertical="center" wrapText="1"/>
      <protection locked="0"/>
    </xf>
    <xf numFmtId="0" fontId="65" fillId="0" borderId="83" xfId="0" applyFont="1" applyFill="1" applyBorder="1" applyAlignment="1" applyProtection="1">
      <alignment horizontal="left" vertical="center" wrapText="1"/>
      <protection locked="0"/>
    </xf>
    <xf numFmtId="0" fontId="65" fillId="0" borderId="84" xfId="0" applyFont="1" applyFill="1" applyBorder="1" applyAlignment="1" applyProtection="1">
      <alignment horizontal="left" vertical="center" wrapText="1"/>
      <protection locked="0"/>
    </xf>
    <xf numFmtId="0" fontId="65" fillId="0" borderId="85" xfId="0" applyFont="1" applyFill="1" applyBorder="1" applyAlignment="1" applyProtection="1">
      <alignment horizontal="left" vertical="center" wrapText="1"/>
      <protection locked="0"/>
    </xf>
    <xf numFmtId="0" fontId="65" fillId="0" borderId="22" xfId="0" applyFont="1" applyBorder="1" applyAlignment="1" applyProtection="1">
      <alignment horizontal="left" vertical="center" wrapText="1"/>
      <protection locked="0"/>
    </xf>
    <xf numFmtId="0" fontId="65" fillId="0" borderId="86" xfId="0" applyFont="1" applyBorder="1" applyAlignment="1" applyProtection="1">
      <alignment horizontal="left" vertical="center" wrapText="1"/>
      <protection locked="0"/>
    </xf>
    <xf numFmtId="0" fontId="65" fillId="0" borderId="87" xfId="0" applyFont="1" applyFill="1" applyBorder="1" applyAlignment="1" applyProtection="1">
      <alignment horizontal="left" vertical="center" wrapText="1"/>
      <protection locked="0"/>
    </xf>
    <xf numFmtId="0" fontId="65" fillId="0" borderId="24" xfId="0" applyFont="1" applyBorder="1" applyAlignment="1" applyProtection="1">
      <alignment horizontal="left" vertical="center" wrapText="1"/>
      <protection locked="0"/>
    </xf>
    <xf numFmtId="0" fontId="65" fillId="0" borderId="88" xfId="0" applyFont="1" applyBorder="1" applyAlignment="1" applyProtection="1">
      <alignment horizontal="left" vertical="center" wrapText="1"/>
      <protection locked="0"/>
    </xf>
    <xf numFmtId="0" fontId="50" fillId="0" borderId="89" xfId="0" applyFont="1" applyFill="1" applyBorder="1" applyAlignment="1" applyProtection="1">
      <alignment horizontal="left" vertical="center" wrapText="1"/>
    </xf>
    <xf numFmtId="0" fontId="59" fillId="0" borderId="15" xfId="0" applyFont="1" applyFill="1" applyBorder="1" applyAlignment="1" applyProtection="1">
      <alignment vertical="center" wrapText="1"/>
    </xf>
    <xf numFmtId="0" fontId="3" fillId="0" borderId="16" xfId="0" applyFont="1" applyBorder="1" applyAlignment="1" applyProtection="1">
      <alignment horizontal="left" vertical="top" wrapText="1"/>
    </xf>
    <xf numFmtId="0" fontId="65" fillId="0" borderId="25" xfId="0" applyFont="1" applyFill="1" applyBorder="1" applyAlignment="1" applyProtection="1">
      <alignment horizontal="left" vertical="top" wrapText="1"/>
      <protection locked="0"/>
    </xf>
    <xf numFmtId="0" fontId="4" fillId="0" borderId="5" xfId="0" applyFont="1" applyFill="1" applyBorder="1" applyAlignment="1" applyProtection="1">
      <protection locked="0"/>
    </xf>
    <xf numFmtId="0" fontId="21" fillId="2" borderId="2" xfId="0" applyFont="1" applyFill="1" applyBorder="1" applyAlignment="1" applyProtection="1">
      <alignment horizontal="left" vertical="center" wrapText="1"/>
    </xf>
    <xf numFmtId="0" fontId="59" fillId="0" borderId="49" xfId="0" applyFont="1" applyFill="1" applyBorder="1" applyAlignment="1" applyProtection="1">
      <alignment horizontal="center" vertical="center" wrapText="1"/>
    </xf>
    <xf numFmtId="0" fontId="65" fillId="0" borderId="22" xfId="0" applyFont="1" applyFill="1" applyBorder="1" applyAlignment="1" applyProtection="1">
      <alignment horizontal="left" vertical="center" wrapText="1"/>
      <protection locked="0"/>
    </xf>
    <xf numFmtId="0" fontId="65" fillId="0" borderId="86" xfId="0" applyFont="1" applyFill="1" applyBorder="1" applyAlignment="1" applyProtection="1">
      <alignment horizontal="left" vertical="center" wrapText="1"/>
      <protection locked="0"/>
    </xf>
    <xf numFmtId="0" fontId="65" fillId="0" borderId="96" xfId="0" applyFont="1" applyFill="1" applyBorder="1" applyAlignment="1" applyProtection="1">
      <alignment horizontal="left" vertical="center" wrapText="1"/>
      <protection locked="0"/>
    </xf>
    <xf numFmtId="0" fontId="65" fillId="0" borderId="15" xfId="0" applyFont="1" applyBorder="1" applyAlignment="1" applyProtection="1">
      <alignment horizontal="left" vertical="center" wrapText="1"/>
      <protection locked="0"/>
    </xf>
    <xf numFmtId="0" fontId="65" fillId="0" borderId="69" xfId="0" applyFont="1" applyFill="1" applyBorder="1" applyAlignment="1" applyProtection="1">
      <alignment vertical="center" wrapText="1"/>
      <protection locked="0"/>
    </xf>
    <xf numFmtId="0" fontId="65" fillId="0" borderId="70" xfId="0" applyFont="1" applyFill="1" applyBorder="1" applyAlignment="1" applyProtection="1">
      <alignment vertical="center" wrapText="1"/>
      <protection locked="0"/>
    </xf>
    <xf numFmtId="0" fontId="65" fillId="0" borderId="25" xfId="0" applyFont="1" applyFill="1" applyBorder="1" applyAlignment="1" applyProtection="1">
      <alignment vertical="center" wrapText="1"/>
      <protection locked="0"/>
    </xf>
    <xf numFmtId="0" fontId="65" fillId="0" borderId="64" xfId="0" applyFont="1" applyFill="1" applyBorder="1" applyAlignment="1" applyProtection="1">
      <alignment vertical="center" wrapText="1"/>
      <protection locked="0"/>
    </xf>
    <xf numFmtId="0" fontId="65" fillId="0" borderId="21" xfId="0" applyFont="1" applyFill="1" applyBorder="1" applyAlignment="1" applyProtection="1">
      <alignment vertical="center" wrapText="1"/>
      <protection locked="0"/>
    </xf>
    <xf numFmtId="0" fontId="65" fillId="0" borderId="65" xfId="0" applyFont="1" applyFill="1" applyBorder="1" applyAlignment="1" applyProtection="1">
      <alignment vertical="center" wrapText="1"/>
      <protection locked="0"/>
    </xf>
    <xf numFmtId="0" fontId="65" fillId="0" borderId="21" xfId="0" applyFont="1" applyBorder="1" applyAlignment="1" applyProtection="1">
      <alignment vertical="center" wrapText="1"/>
      <protection locked="0"/>
    </xf>
    <xf numFmtId="0" fontId="65" fillId="0" borderId="65" xfId="0" applyFont="1" applyBorder="1" applyAlignment="1" applyProtection="1">
      <alignment vertical="center" wrapText="1"/>
      <protection locked="0"/>
    </xf>
    <xf numFmtId="0" fontId="65" fillId="0" borderId="62" xfId="0" applyFont="1" applyBorder="1" applyAlignment="1" applyProtection="1">
      <alignment vertical="center" wrapText="1"/>
      <protection locked="0"/>
    </xf>
    <xf numFmtId="0" fontId="65" fillId="0" borderId="67" xfId="0" applyFont="1" applyBorder="1" applyAlignment="1" applyProtection="1">
      <alignment vertical="center" wrapText="1"/>
      <protection locked="0"/>
    </xf>
    <xf numFmtId="0" fontId="65" fillId="0" borderId="69" xfId="0" applyFont="1" applyBorder="1" applyAlignment="1" applyProtection="1">
      <alignment vertical="center" wrapText="1"/>
      <protection locked="0"/>
    </xf>
    <xf numFmtId="0" fontId="65" fillId="0" borderId="70" xfId="0" applyFont="1" applyBorder="1" applyAlignment="1" applyProtection="1">
      <alignment vertical="center" wrapText="1"/>
      <protection locked="0"/>
    </xf>
    <xf numFmtId="0" fontId="65" fillId="0" borderId="25" xfId="0" applyFont="1" applyBorder="1" applyAlignment="1" applyProtection="1">
      <alignment vertical="center" wrapText="1"/>
      <protection locked="0"/>
    </xf>
    <xf numFmtId="0" fontId="65" fillId="0" borderId="64" xfId="0" applyFont="1" applyBorder="1" applyAlignment="1" applyProtection="1">
      <alignment vertical="center" wrapText="1"/>
      <protection locked="0"/>
    </xf>
    <xf numFmtId="0" fontId="50" fillId="0" borderId="18" xfId="0" applyFont="1" applyFill="1" applyBorder="1" applyAlignment="1" applyProtection="1">
      <alignment horizontal="left" vertical="center" wrapText="1"/>
    </xf>
    <xf numFmtId="0" fontId="46" fillId="0" borderId="18" xfId="0" applyFont="1" applyFill="1" applyBorder="1" applyAlignment="1" applyProtection="1">
      <alignment horizontal="left" vertical="center" wrapText="1"/>
    </xf>
    <xf numFmtId="0" fontId="82" fillId="2" borderId="2" xfId="0" applyFont="1" applyFill="1" applyBorder="1" applyAlignment="1" applyProtection="1">
      <alignment horizontal="left" wrapText="1"/>
    </xf>
    <xf numFmtId="0" fontId="16" fillId="2" borderId="8" xfId="0" applyFont="1" applyFill="1" applyBorder="1" applyAlignment="1" applyProtection="1">
      <alignment horizontal="left" vertical="center"/>
    </xf>
    <xf numFmtId="0" fontId="6" fillId="10" borderId="17" xfId="0" applyFont="1" applyFill="1" applyBorder="1" applyAlignment="1" applyProtection="1">
      <alignment horizontal="center" vertical="center" wrapText="1"/>
    </xf>
    <xf numFmtId="0" fontId="40" fillId="10" borderId="7" xfId="0" applyFont="1" applyFill="1" applyBorder="1" applyAlignment="1" applyProtection="1">
      <alignment horizontal="center" vertical="center" wrapText="1"/>
    </xf>
    <xf numFmtId="0" fontId="40" fillId="10" borderId="17" xfId="0" applyFont="1" applyFill="1" applyBorder="1" applyAlignment="1" applyProtection="1">
      <alignment horizontal="center" vertical="center" wrapText="1"/>
    </xf>
    <xf numFmtId="0" fontId="40" fillId="0" borderId="17" xfId="0" applyFont="1" applyFill="1" applyBorder="1" applyAlignment="1" applyProtection="1">
      <alignment horizontal="center" vertical="center" wrapText="1"/>
    </xf>
    <xf numFmtId="0" fontId="40" fillId="11" borderId="17" xfId="0" applyFont="1" applyFill="1" applyBorder="1" applyAlignment="1" applyProtection="1">
      <alignment horizontal="center" vertical="center" wrapText="1"/>
    </xf>
    <xf numFmtId="0" fontId="40" fillId="12" borderId="17" xfId="0" applyFont="1" applyFill="1" applyBorder="1" applyAlignment="1" applyProtection="1">
      <alignment horizontal="center" vertical="center" wrapText="1"/>
    </xf>
    <xf numFmtId="0" fontId="6" fillId="12" borderId="17" xfId="0" applyFont="1" applyFill="1" applyBorder="1" applyAlignment="1" applyProtection="1">
      <alignment horizontal="center" vertical="center" wrapText="1"/>
    </xf>
    <xf numFmtId="0" fontId="58" fillId="0" borderId="0" xfId="0" applyFont="1" applyFill="1" applyBorder="1" applyAlignment="1" applyProtection="1">
      <alignment vertical="top"/>
    </xf>
    <xf numFmtId="0" fontId="88" fillId="0" borderId="0" xfId="0" applyFont="1" applyFill="1" applyBorder="1" applyAlignment="1" applyProtection="1">
      <alignment vertical="center" wrapText="1"/>
    </xf>
    <xf numFmtId="0" fontId="109" fillId="0" borderId="0" xfId="0" applyFont="1" applyFill="1" applyBorder="1" applyAlignment="1" applyProtection="1">
      <alignment horizontal="left" vertical="top"/>
    </xf>
    <xf numFmtId="0" fontId="88" fillId="0" borderId="0" xfId="0" applyFont="1" applyFill="1" applyBorder="1" applyAlignment="1" applyProtection="1">
      <alignment vertical="center"/>
    </xf>
    <xf numFmtId="0" fontId="50" fillId="0" borderId="99" xfId="0" applyFont="1" applyBorder="1" applyAlignment="1" applyProtection="1">
      <alignment horizontal="center" vertical="center" wrapText="1"/>
    </xf>
    <xf numFmtId="0" fontId="59" fillId="0" borderId="25" xfId="0" applyFont="1" applyBorder="1" applyAlignment="1" applyProtection="1">
      <alignment horizontal="center" vertical="center" wrapText="1"/>
      <protection locked="0"/>
    </xf>
    <xf numFmtId="0" fontId="59" fillId="0" borderId="64" xfId="0" applyFont="1" applyBorder="1" applyAlignment="1" applyProtection="1">
      <alignment horizontal="center" vertical="center" wrapText="1"/>
      <protection locked="0"/>
    </xf>
    <xf numFmtId="0" fontId="59" fillId="0" borderId="22" xfId="0" applyFont="1" applyBorder="1" applyAlignment="1" applyProtection="1">
      <alignment horizontal="center" vertical="center" wrapText="1"/>
      <protection locked="0"/>
    </xf>
    <xf numFmtId="0" fontId="59" fillId="0" borderId="86" xfId="0" applyFont="1" applyBorder="1" applyAlignment="1" applyProtection="1">
      <alignment horizontal="center" vertical="center" wrapText="1"/>
      <protection locked="0"/>
    </xf>
    <xf numFmtId="0" fontId="59" fillId="0" borderId="21" xfId="0" applyFont="1" applyBorder="1" applyAlignment="1" applyProtection="1">
      <alignment horizontal="center" vertical="center" wrapText="1"/>
      <protection locked="0"/>
    </xf>
    <xf numFmtId="0" fontId="59" fillId="0" borderId="65" xfId="0" applyFont="1" applyBorder="1" applyAlignment="1" applyProtection="1">
      <alignment horizontal="center" vertical="center" wrapText="1"/>
      <protection locked="0"/>
    </xf>
    <xf numFmtId="0" fontId="59" fillId="0" borderId="62" xfId="0" applyFont="1" applyBorder="1" applyAlignment="1" applyProtection="1">
      <alignment horizontal="center" vertical="center" wrapText="1"/>
      <protection locked="0"/>
    </xf>
    <xf numFmtId="0" fontId="59" fillId="0" borderId="67" xfId="0" applyFont="1" applyBorder="1" applyAlignment="1" applyProtection="1">
      <alignment horizontal="center" vertical="center" wrapText="1"/>
      <protection locked="0"/>
    </xf>
    <xf numFmtId="0" fontId="112" fillId="0" borderId="0" xfId="0" applyFont="1" applyFill="1" applyBorder="1" applyAlignment="1" applyProtection="1"/>
    <xf numFmtId="0" fontId="22" fillId="0" borderId="0" xfId="0" applyFont="1" applyFill="1" applyBorder="1" applyAlignment="1" applyProtection="1">
      <alignment horizontal="left" vertical="center" wrapText="1"/>
    </xf>
    <xf numFmtId="49" fontId="55" fillId="0" borderId="0" xfId="0" applyNumberFormat="1" applyFont="1" applyFill="1" applyBorder="1" applyAlignment="1" applyProtection="1"/>
    <xf numFmtId="0" fontId="101" fillId="0" borderId="0" xfId="0" applyFont="1" applyBorder="1" applyAlignment="1" applyProtection="1">
      <alignment vertical="center" wrapText="1"/>
    </xf>
    <xf numFmtId="0" fontId="3" fillId="2" borderId="5" xfId="0" applyFont="1" applyFill="1" applyBorder="1" applyAlignment="1" applyProtection="1">
      <alignment horizontal="left" wrapText="1"/>
    </xf>
    <xf numFmtId="0" fontId="101" fillId="2" borderId="5" xfId="0" applyFont="1" applyFill="1" applyBorder="1" applyAlignment="1" applyProtection="1">
      <alignment wrapText="1"/>
    </xf>
    <xf numFmtId="0" fontId="49" fillId="0" borderId="0" xfId="0" applyFont="1" applyFill="1" applyBorder="1" applyAlignment="1" applyProtection="1">
      <alignment vertical="top"/>
    </xf>
    <xf numFmtId="0" fontId="14" fillId="5" borderId="0" xfId="0" applyFont="1" applyFill="1" applyBorder="1" applyAlignment="1" applyProtection="1">
      <alignment horizontal="left" vertical="top" wrapText="1"/>
    </xf>
    <xf numFmtId="0" fontId="14" fillId="5" borderId="34" xfId="0" applyFont="1" applyFill="1" applyBorder="1" applyAlignment="1" applyProtection="1">
      <alignment horizontal="left" vertical="top"/>
    </xf>
    <xf numFmtId="0" fontId="115" fillId="0" borderId="0" xfId="0" applyFont="1" applyProtection="1"/>
    <xf numFmtId="0" fontId="0" fillId="0" borderId="0" xfId="0" applyFont="1" applyProtection="1"/>
    <xf numFmtId="0" fontId="103" fillId="0" borderId="0" xfId="0" applyFont="1" applyProtection="1"/>
    <xf numFmtId="0" fontId="3" fillId="0" borderId="6" xfId="0" applyFont="1" applyBorder="1" applyAlignment="1" applyProtection="1">
      <alignment vertical="top" wrapText="1"/>
    </xf>
    <xf numFmtId="0" fontId="103" fillId="0" borderId="0" xfId="0" applyFont="1" applyAlignment="1" applyProtection="1">
      <alignment vertical="top"/>
    </xf>
    <xf numFmtId="0" fontId="73" fillId="2" borderId="0" xfId="0" applyFont="1" applyFill="1" applyAlignment="1" applyProtection="1">
      <alignment horizontal="left" vertical="top"/>
    </xf>
    <xf numFmtId="0" fontId="73" fillId="0" borderId="4" xfId="0" applyFont="1" applyFill="1" applyBorder="1" applyAlignment="1" applyProtection="1">
      <alignment vertical="top"/>
    </xf>
    <xf numFmtId="0" fontId="73" fillId="0" borderId="0" xfId="0" applyFont="1" applyFill="1" applyBorder="1" applyAlignment="1" applyProtection="1">
      <alignment vertical="top"/>
    </xf>
    <xf numFmtId="0" fontId="73" fillId="2" borderId="0" xfId="0" applyFont="1" applyFill="1" applyBorder="1" applyAlignment="1" applyProtection="1">
      <alignment horizontal="left" vertical="top"/>
    </xf>
    <xf numFmtId="0" fontId="0" fillId="0" borderId="0" xfId="0" applyFont="1" applyAlignment="1" applyProtection="1">
      <alignment vertical="top"/>
    </xf>
    <xf numFmtId="0" fontId="20" fillId="0" borderId="0" xfId="0" applyFont="1" applyFill="1" applyBorder="1" applyAlignment="1" applyProtection="1">
      <alignment vertical="top"/>
    </xf>
    <xf numFmtId="0" fontId="16" fillId="0" borderId="0" xfId="0" applyFont="1" applyFill="1" applyBorder="1" applyAlignment="1" applyProtection="1"/>
    <xf numFmtId="0" fontId="14" fillId="0" borderId="0" xfId="0" applyFont="1" applyFill="1" applyBorder="1" applyAlignment="1" applyProtection="1"/>
    <xf numFmtId="0" fontId="11" fillId="0" borderId="0" xfId="0" applyFont="1" applyFill="1" applyBorder="1" applyAlignment="1">
      <alignment horizontal="left" vertical="top" wrapText="1"/>
    </xf>
    <xf numFmtId="0" fontId="0" fillId="0" borderId="0" xfId="0" applyAlignment="1">
      <alignment wrapText="1"/>
    </xf>
    <xf numFmtId="0" fontId="116" fillId="13" borderId="7" xfId="0" applyFont="1" applyFill="1" applyBorder="1" applyAlignment="1">
      <alignment horizontal="center" vertical="center" wrapText="1"/>
    </xf>
    <xf numFmtId="0" fontId="116" fillId="14" borderId="17" xfId="0" applyFont="1" applyFill="1" applyBorder="1" applyAlignment="1">
      <alignment horizontal="center" vertical="center" wrapText="1"/>
    </xf>
    <xf numFmtId="0" fontId="117" fillId="3" borderId="17" xfId="0" applyFont="1" applyFill="1" applyBorder="1" applyAlignment="1">
      <alignment horizontal="center" vertical="center" wrapText="1"/>
    </xf>
    <xf numFmtId="0" fontId="116" fillId="6" borderId="17" xfId="0" applyFont="1" applyFill="1" applyBorder="1" applyAlignment="1">
      <alignment horizontal="center" vertical="center" wrapText="1"/>
    </xf>
    <xf numFmtId="0" fontId="118" fillId="15" borderId="17" xfId="0" applyFont="1" applyFill="1" applyBorder="1" applyAlignment="1">
      <alignment horizontal="center" vertical="center" wrapText="1"/>
    </xf>
    <xf numFmtId="0" fontId="0" fillId="0" borderId="0" xfId="0" applyAlignment="1">
      <alignment horizontal="center"/>
    </xf>
    <xf numFmtId="0" fontId="95" fillId="5" borderId="100" xfId="0" applyFont="1" applyFill="1" applyBorder="1" applyAlignment="1">
      <alignment horizontal="center" vertical="center"/>
    </xf>
    <xf numFmtId="0" fontId="95" fillId="5" borderId="101" xfId="0" applyFont="1" applyFill="1" applyBorder="1" applyAlignment="1">
      <alignment horizontal="center" vertical="center"/>
    </xf>
    <xf numFmtId="0" fontId="95" fillId="5" borderId="3" xfId="0" applyFont="1" applyFill="1" applyBorder="1" applyAlignment="1">
      <alignment horizontal="center" vertical="center"/>
    </xf>
    <xf numFmtId="0" fontId="11" fillId="0" borderId="1" xfId="0" applyFont="1" applyFill="1" applyBorder="1" applyAlignment="1">
      <alignment horizontal="center" vertical="top"/>
    </xf>
    <xf numFmtId="0" fontId="11" fillId="0" borderId="2" xfId="0" applyFont="1" applyFill="1" applyBorder="1" applyAlignment="1">
      <alignment horizontal="center" vertical="top"/>
    </xf>
    <xf numFmtId="0" fontId="11" fillId="0" borderId="3" xfId="0" applyFont="1" applyFill="1" applyBorder="1" applyAlignment="1">
      <alignment horizontal="center" vertical="top"/>
    </xf>
    <xf numFmtId="0" fontId="57" fillId="8" borderId="0" xfId="0" applyFont="1" applyFill="1" applyBorder="1" applyAlignment="1">
      <alignment horizontal="center" vertical="center"/>
    </xf>
    <xf numFmtId="9" fontId="57" fillId="0" borderId="0" xfId="0" applyNumberFormat="1" applyFont="1" applyFill="1" applyBorder="1" applyAlignment="1">
      <alignment horizontal="center" vertical="center"/>
    </xf>
    <xf numFmtId="9" fontId="0" fillId="0" borderId="0" xfId="1" applyFont="1" applyAlignment="1">
      <alignment horizontal="center"/>
    </xf>
    <xf numFmtId="9" fontId="0" fillId="0" borderId="0" xfId="0" applyNumberFormat="1" applyAlignment="1">
      <alignment horizontal="center"/>
    </xf>
    <xf numFmtId="0" fontId="66" fillId="0" borderId="0" xfId="0" applyFont="1" applyFill="1" applyAlignment="1">
      <alignment horizontal="center" vertical="top" wrapText="1"/>
    </xf>
    <xf numFmtId="0" fontId="110" fillId="0" borderId="0" xfId="0" applyFont="1" applyFill="1" applyAlignment="1">
      <alignment horizontal="left" vertical="center" wrapText="1" indent="11"/>
    </xf>
    <xf numFmtId="0" fontId="66" fillId="0" borderId="0" xfId="0" applyFont="1" applyFill="1" applyBorder="1" applyAlignment="1">
      <alignment horizontal="left" vertical="center" wrapText="1"/>
    </xf>
    <xf numFmtId="0" fontId="110" fillId="0" borderId="0" xfId="0" applyFont="1" applyAlignment="1">
      <alignment vertical="top" wrapText="1"/>
    </xf>
    <xf numFmtId="0" fontId="31" fillId="16" borderId="1" xfId="0" applyFont="1" applyFill="1" applyBorder="1" applyAlignment="1">
      <alignment wrapText="1"/>
    </xf>
    <xf numFmtId="0" fontId="31" fillId="16" borderId="2" xfId="0" applyFont="1" applyFill="1" applyBorder="1" applyAlignment="1">
      <alignment wrapText="1"/>
    </xf>
    <xf numFmtId="0" fontId="32" fillId="16" borderId="3" xfId="0" applyFont="1" applyFill="1" applyBorder="1" applyAlignment="1">
      <alignment horizontal="left" wrapText="1"/>
    </xf>
    <xf numFmtId="0" fontId="29" fillId="16" borderId="4" xfId="0" applyFont="1" applyFill="1" applyBorder="1" applyAlignment="1">
      <alignment vertical="top" wrapText="1"/>
    </xf>
    <xf numFmtId="0" fontId="29" fillId="16" borderId="0" xfId="0" applyFont="1" applyFill="1" applyAlignment="1">
      <alignment vertical="top" wrapText="1"/>
    </xf>
    <xf numFmtId="0" fontId="57" fillId="16" borderId="0" xfId="0" applyFont="1" applyFill="1" applyBorder="1" applyAlignment="1">
      <alignment vertical="center"/>
    </xf>
    <xf numFmtId="0" fontId="43" fillId="16" borderId="0" xfId="0" applyFont="1" applyFill="1"/>
    <xf numFmtId="0" fontId="120" fillId="16" borderId="0" xfId="0" applyFont="1" applyFill="1"/>
    <xf numFmtId="0" fontId="34" fillId="16" borderId="6" xfId="0" applyFont="1" applyFill="1" applyBorder="1" applyAlignment="1">
      <alignment horizontal="left" vertical="center"/>
    </xf>
    <xf numFmtId="0" fontId="86" fillId="16" borderId="0" xfId="0" applyFont="1" applyFill="1" applyBorder="1" applyAlignment="1">
      <alignment horizontal="left" vertical="center"/>
    </xf>
    <xf numFmtId="0" fontId="104" fillId="16" borderId="0" xfId="0" applyFont="1" applyFill="1" applyBorder="1" applyAlignment="1">
      <alignment horizontal="left" vertical="center"/>
    </xf>
    <xf numFmtId="0" fontId="121" fillId="2" borderId="0" xfId="0" applyFont="1" applyFill="1" applyAlignment="1">
      <alignment horizontal="left" vertical="center"/>
    </xf>
    <xf numFmtId="0" fontId="85" fillId="16" borderId="4" xfId="0" applyFont="1" applyFill="1" applyBorder="1" applyAlignment="1">
      <alignment vertical="top" wrapText="1"/>
    </xf>
    <xf numFmtId="0" fontId="122" fillId="16" borderId="0" xfId="0" applyFont="1" applyFill="1"/>
    <xf numFmtId="0" fontId="122" fillId="0" borderId="0" xfId="0" applyFont="1"/>
    <xf numFmtId="0" fontId="124" fillId="2" borderId="0" xfId="0" applyFont="1" applyFill="1" applyAlignment="1">
      <alignment horizontal="left" vertical="center"/>
    </xf>
    <xf numFmtId="0" fontId="125" fillId="16" borderId="4" xfId="0" applyFont="1" applyFill="1" applyBorder="1" applyAlignment="1">
      <alignment vertical="center" wrapText="1"/>
    </xf>
    <xf numFmtId="0" fontId="43" fillId="16" borderId="0" xfId="0" applyFont="1" applyFill="1" applyAlignment="1">
      <alignment vertical="center"/>
    </xf>
    <xf numFmtId="0" fontId="54" fillId="2" borderId="18" xfId="0" applyFont="1" applyFill="1" applyBorder="1" applyAlignment="1">
      <alignment horizontal="center" vertical="center"/>
    </xf>
    <xf numFmtId="0" fontId="54" fillId="2" borderId="15" xfId="0" applyFont="1" applyFill="1" applyBorder="1" applyAlignment="1">
      <alignment horizontal="center" vertical="center" wrapText="1"/>
    </xf>
    <xf numFmtId="0" fontId="54" fillId="2" borderId="15" xfId="0" applyFont="1" applyFill="1" applyBorder="1" applyAlignment="1">
      <alignment vertical="center" wrapText="1"/>
    </xf>
    <xf numFmtId="9" fontId="54" fillId="2" borderId="104" xfId="0" applyNumberFormat="1" applyFont="1" applyFill="1" applyBorder="1" applyAlignment="1">
      <alignment horizontal="center" vertical="center" wrapText="1"/>
    </xf>
    <xf numFmtId="1" fontId="54" fillId="2" borderId="103" xfId="0" applyNumberFormat="1" applyFont="1" applyFill="1" applyBorder="1" applyAlignment="1">
      <alignment horizontal="center" vertical="center" wrapText="1"/>
    </xf>
    <xf numFmtId="0" fontId="43" fillId="0" borderId="0" xfId="0" applyFont="1" applyAlignment="1">
      <alignment vertical="center"/>
    </xf>
    <xf numFmtId="0" fontId="0" fillId="16" borderId="0" xfId="0" applyFill="1"/>
    <xf numFmtId="0" fontId="53" fillId="16" borderId="0" xfId="0" applyFont="1" applyFill="1" applyAlignment="1">
      <alignment horizontal="center" vertical="top"/>
    </xf>
    <xf numFmtId="0" fontId="53" fillId="16" borderId="0" xfId="0" applyFont="1" applyFill="1" applyAlignment="1">
      <alignment vertical="top" wrapText="1"/>
    </xf>
    <xf numFmtId="0" fontId="53" fillId="2" borderId="0" xfId="0" applyFont="1" applyFill="1" applyAlignment="1">
      <alignment vertical="center"/>
    </xf>
    <xf numFmtId="0" fontId="53" fillId="2" borderId="0" xfId="0" applyFont="1" applyFill="1" applyAlignment="1">
      <alignment horizontal="left" vertical="center" wrapText="1"/>
    </xf>
    <xf numFmtId="9" fontId="53" fillId="16" borderId="52" xfId="0" applyNumberFormat="1" applyFont="1" applyFill="1" applyBorder="1" applyAlignment="1">
      <alignment horizontal="center" vertical="center"/>
    </xf>
    <xf numFmtId="1" fontId="53" fillId="16" borderId="53" xfId="0" applyNumberFormat="1" applyFont="1" applyFill="1" applyBorder="1" applyAlignment="1">
      <alignment horizontal="center" vertical="center"/>
    </xf>
    <xf numFmtId="9" fontId="53" fillId="16" borderId="0" xfId="0" applyNumberFormat="1" applyFont="1" applyFill="1" applyBorder="1" applyAlignment="1">
      <alignment horizontal="center" vertical="center"/>
    </xf>
    <xf numFmtId="0" fontId="53" fillId="16" borderId="106" xfId="0" applyNumberFormat="1" applyFont="1" applyFill="1" applyBorder="1" applyAlignment="1">
      <alignment horizontal="center" vertical="center"/>
    </xf>
    <xf numFmtId="1" fontId="53" fillId="16" borderId="106" xfId="0" applyNumberFormat="1" applyFont="1" applyFill="1" applyBorder="1" applyAlignment="1">
      <alignment horizontal="center" vertical="center"/>
    </xf>
    <xf numFmtId="1" fontId="53" fillId="16" borderId="107" xfId="0" applyNumberFormat="1" applyFont="1" applyFill="1" applyBorder="1" applyAlignment="1">
      <alignment horizontal="center" vertical="center"/>
    </xf>
    <xf numFmtId="0" fontId="53" fillId="16" borderId="1" xfId="0" applyFont="1" applyFill="1" applyBorder="1" applyAlignment="1">
      <alignment horizontal="center" vertical="top"/>
    </xf>
    <xf numFmtId="0" fontId="53" fillId="16" borderId="2" xfId="0" applyFont="1" applyFill="1" applyBorder="1" applyAlignment="1">
      <alignment vertical="top" wrapText="1"/>
    </xf>
    <xf numFmtId="0" fontId="53" fillId="2" borderId="2" xfId="0" applyFont="1" applyFill="1" applyBorder="1" applyAlignment="1">
      <alignment vertical="center"/>
    </xf>
    <xf numFmtId="0" fontId="53" fillId="2" borderId="2" xfId="0" applyFont="1" applyFill="1" applyBorder="1" applyAlignment="1">
      <alignment horizontal="left" vertical="center" wrapText="1"/>
    </xf>
    <xf numFmtId="9" fontId="53" fillId="16" borderId="108" xfId="0" applyNumberFormat="1" applyFont="1" applyFill="1" applyBorder="1" applyAlignment="1">
      <alignment horizontal="center" vertical="center"/>
    </xf>
    <xf numFmtId="1" fontId="53" fillId="16" borderId="101" xfId="0" applyNumberFormat="1" applyFont="1" applyFill="1" applyBorder="1" applyAlignment="1">
      <alignment horizontal="center" vertical="center"/>
    </xf>
    <xf numFmtId="9" fontId="53" fillId="16" borderId="2" xfId="0" applyNumberFormat="1" applyFont="1" applyFill="1" applyBorder="1" applyAlignment="1">
      <alignment horizontal="center" vertical="center"/>
    </xf>
    <xf numFmtId="0" fontId="53" fillId="16" borderId="109" xfId="0" applyNumberFormat="1" applyFont="1" applyFill="1" applyBorder="1" applyAlignment="1">
      <alignment horizontal="center" vertical="center"/>
    </xf>
    <xf numFmtId="1" fontId="53" fillId="16" borderId="109" xfId="0" applyNumberFormat="1" applyFont="1" applyFill="1" applyBorder="1" applyAlignment="1">
      <alignment horizontal="center" vertical="center"/>
    </xf>
    <xf numFmtId="1" fontId="53" fillId="16" borderId="110" xfId="0" applyNumberFormat="1" applyFont="1" applyFill="1" applyBorder="1" applyAlignment="1">
      <alignment horizontal="center" vertical="center"/>
    </xf>
    <xf numFmtId="0" fontId="53" fillId="16" borderId="4" xfId="0" applyFont="1" applyFill="1" applyBorder="1" applyAlignment="1">
      <alignment horizontal="center" vertical="top"/>
    </xf>
    <xf numFmtId="0" fontId="53" fillId="16" borderId="0" xfId="0" applyFont="1" applyFill="1" applyBorder="1" applyAlignment="1">
      <alignment vertical="top" wrapText="1"/>
    </xf>
    <xf numFmtId="0" fontId="53" fillId="2" borderId="0" xfId="0" applyFont="1" applyFill="1" applyBorder="1" applyAlignment="1">
      <alignment vertical="center"/>
    </xf>
    <xf numFmtId="0" fontId="53" fillId="2" borderId="0" xfId="0" applyFont="1" applyFill="1" applyBorder="1" applyAlignment="1">
      <alignment horizontal="left" vertical="center" wrapText="1"/>
    </xf>
    <xf numFmtId="0" fontId="53" fillId="16" borderId="14" xfId="0" applyFont="1" applyFill="1" applyBorder="1" applyAlignment="1">
      <alignment horizontal="center" vertical="top"/>
    </xf>
    <xf numFmtId="0" fontId="53" fillId="16" borderId="5" xfId="0" applyFont="1" applyFill="1" applyBorder="1" applyAlignment="1">
      <alignment vertical="top" wrapText="1"/>
    </xf>
    <xf numFmtId="0" fontId="53" fillId="2" borderId="5" xfId="0" applyFont="1" applyFill="1" applyBorder="1" applyAlignment="1">
      <alignment vertical="center"/>
    </xf>
    <xf numFmtId="0" fontId="53" fillId="2" borderId="5" xfId="0" applyFont="1" applyFill="1" applyBorder="1" applyAlignment="1">
      <alignment horizontal="left" vertical="center" wrapText="1"/>
    </xf>
    <xf numFmtId="9" fontId="53" fillId="16" borderId="111" xfId="0" applyNumberFormat="1" applyFont="1" applyFill="1" applyBorder="1" applyAlignment="1">
      <alignment horizontal="center" vertical="center"/>
    </xf>
    <xf numFmtId="1" fontId="53" fillId="16" borderId="112" xfId="0" applyNumberFormat="1" applyFont="1" applyFill="1" applyBorder="1" applyAlignment="1">
      <alignment horizontal="center" vertical="center"/>
    </xf>
    <xf numFmtId="9" fontId="53" fillId="16" borderId="5" xfId="0" applyNumberFormat="1" applyFont="1" applyFill="1" applyBorder="1" applyAlignment="1">
      <alignment horizontal="center" vertical="center"/>
    </xf>
    <xf numFmtId="0" fontId="53" fillId="16" borderId="113" xfId="0" applyNumberFormat="1" applyFont="1" applyFill="1" applyBorder="1" applyAlignment="1">
      <alignment horizontal="center" vertical="center"/>
    </xf>
    <xf numFmtId="1" fontId="53" fillId="16" borderId="113" xfId="0" applyNumberFormat="1" applyFont="1" applyFill="1" applyBorder="1" applyAlignment="1">
      <alignment horizontal="center" vertical="center"/>
    </xf>
    <xf numFmtId="1" fontId="53" fillId="16" borderId="114" xfId="0" applyNumberFormat="1" applyFont="1" applyFill="1" applyBorder="1" applyAlignment="1">
      <alignment horizontal="center" vertical="center"/>
    </xf>
    <xf numFmtId="0" fontId="53" fillId="16" borderId="2" xfId="0" applyFont="1" applyFill="1" applyBorder="1" applyAlignment="1">
      <alignment horizontal="center" vertical="top"/>
    </xf>
    <xf numFmtId="0" fontId="53" fillId="16" borderId="0" xfId="0" applyFont="1" applyFill="1" applyBorder="1" applyAlignment="1">
      <alignment horizontal="center" vertical="top"/>
    </xf>
    <xf numFmtId="0" fontId="53" fillId="16" borderId="5" xfId="0" applyFont="1" applyFill="1" applyBorder="1" applyAlignment="1">
      <alignment horizontal="center" vertical="top"/>
    </xf>
    <xf numFmtId="0" fontId="29" fillId="16" borderId="0" xfId="0" applyFont="1" applyFill="1" applyBorder="1" applyAlignment="1">
      <alignment vertical="top" wrapText="1"/>
    </xf>
    <xf numFmtId="9" fontId="53" fillId="16" borderId="54" xfId="0" applyNumberFormat="1" applyFont="1" applyFill="1" applyBorder="1" applyAlignment="1">
      <alignment horizontal="center" vertical="center"/>
    </xf>
    <xf numFmtId="1" fontId="53" fillId="16" borderId="55" xfId="0" applyNumberFormat="1" applyFont="1" applyFill="1" applyBorder="1" applyAlignment="1">
      <alignment horizontal="center" vertical="center"/>
    </xf>
    <xf numFmtId="9" fontId="53" fillId="16" borderId="57" xfId="0" applyNumberFormat="1" applyFont="1" applyFill="1" applyBorder="1" applyAlignment="1">
      <alignment horizontal="center" vertical="center"/>
    </xf>
    <xf numFmtId="0" fontId="53" fillId="16" borderId="115" xfId="0" applyNumberFormat="1" applyFont="1" applyFill="1" applyBorder="1" applyAlignment="1">
      <alignment horizontal="center" vertical="center"/>
    </xf>
    <xf numFmtId="1" fontId="53" fillId="16" borderId="115" xfId="0" applyNumberFormat="1" applyFont="1" applyFill="1" applyBorder="1" applyAlignment="1">
      <alignment horizontal="center" vertical="center"/>
    </xf>
    <xf numFmtId="1" fontId="53" fillId="16" borderId="116" xfId="0" applyNumberFormat="1" applyFont="1" applyFill="1" applyBorder="1" applyAlignment="1">
      <alignment horizontal="center" vertical="center"/>
    </xf>
    <xf numFmtId="0" fontId="36" fillId="16" borderId="14" xfId="0" applyFont="1" applyFill="1" applyBorder="1" applyAlignment="1">
      <alignment horizontal="center" vertical="center" wrapText="1"/>
    </xf>
    <xf numFmtId="0" fontId="36" fillId="16" borderId="5" xfId="0" applyFont="1" applyFill="1" applyBorder="1" applyAlignment="1">
      <alignment horizontal="center" vertical="center" wrapText="1"/>
    </xf>
    <xf numFmtId="0" fontId="29" fillId="16" borderId="16" xfId="0" applyFont="1" applyFill="1" applyBorder="1" applyAlignment="1">
      <alignment horizontal="center" vertical="top" wrapText="1"/>
    </xf>
    <xf numFmtId="0" fontId="43" fillId="0" borderId="0" xfId="0" applyFont="1"/>
    <xf numFmtId="0" fontId="120" fillId="0" borderId="0" xfId="0" applyFont="1"/>
    <xf numFmtId="0" fontId="95" fillId="5" borderId="0" xfId="0" applyFont="1" applyFill="1" applyBorder="1" applyAlignment="1">
      <alignment horizontal="left" vertical="center"/>
    </xf>
    <xf numFmtId="0" fontId="95" fillId="5" borderId="0" xfId="0" applyFont="1" applyFill="1" applyBorder="1" applyAlignment="1">
      <alignment horizontal="center" vertical="center"/>
    </xf>
    <xf numFmtId="9" fontId="13" fillId="4" borderId="41" xfId="0" applyNumberFormat="1" applyFont="1" applyFill="1" applyBorder="1" applyAlignment="1" applyProtection="1">
      <alignment horizontal="center" vertical="top" wrapText="1"/>
      <protection locked="0"/>
    </xf>
    <xf numFmtId="9" fontId="13" fillId="0" borderId="42" xfId="0" applyNumberFormat="1" applyFont="1" applyFill="1" applyBorder="1" applyAlignment="1" applyProtection="1">
      <alignment horizontal="center" vertical="top" wrapText="1"/>
      <protection locked="0"/>
    </xf>
    <xf numFmtId="9" fontId="13" fillId="4" borderId="42" xfId="0" applyNumberFormat="1" applyFont="1" applyFill="1" applyBorder="1" applyAlignment="1" applyProtection="1">
      <alignment horizontal="center" vertical="top" wrapText="1"/>
      <protection locked="0"/>
    </xf>
    <xf numFmtId="0" fontId="126" fillId="0" borderId="0" xfId="0" applyFont="1" applyFill="1"/>
    <xf numFmtId="9" fontId="11" fillId="0" borderId="0" xfId="1" applyFont="1" applyFill="1" applyAlignment="1">
      <alignment horizontal="center"/>
    </xf>
    <xf numFmtId="0" fontId="11" fillId="0" borderId="0" xfId="0" applyFont="1" applyFill="1" applyAlignment="1">
      <alignment horizontal="center"/>
    </xf>
    <xf numFmtId="0" fontId="52" fillId="0" borderId="0" xfId="0" applyFont="1" applyFill="1" applyBorder="1" applyAlignment="1" applyProtection="1">
      <alignment horizontal="left" vertical="center" wrapText="1"/>
    </xf>
    <xf numFmtId="0" fontId="40" fillId="0" borderId="4" xfId="0" applyFont="1" applyBorder="1" applyAlignment="1" applyProtection="1">
      <alignment horizontal="center" vertical="center" wrapText="1"/>
    </xf>
    <xf numFmtId="0" fontId="47" fillId="0" borderId="0" xfId="0" applyFont="1" applyFill="1" applyBorder="1" applyAlignment="1" applyProtection="1">
      <alignment horizontal="left" vertical="center" wrapText="1"/>
    </xf>
    <xf numFmtId="0" fontId="11" fillId="16" borderId="0" xfId="0" applyFont="1" applyFill="1" applyBorder="1" applyAlignment="1">
      <alignment horizontal="center" vertical="top"/>
    </xf>
    <xf numFmtId="0" fontId="95" fillId="16" borderId="0" xfId="0" applyFont="1" applyFill="1" applyBorder="1" applyAlignment="1">
      <alignment vertical="center"/>
    </xf>
    <xf numFmtId="0" fontId="106" fillId="16" borderId="0" xfId="0" applyFont="1" applyFill="1" applyAlignment="1">
      <alignment horizontal="left" vertical="top" wrapText="1"/>
    </xf>
    <xf numFmtId="0" fontId="58" fillId="0" borderId="0" xfId="0" applyFont="1" applyFill="1" applyBorder="1" applyAlignment="1" applyProtection="1"/>
    <xf numFmtId="0" fontId="55" fillId="0" borderId="0" xfId="0" applyNumberFormat="1" applyFont="1" applyFill="1" applyBorder="1" applyAlignment="1" applyProtection="1">
      <alignment horizontal="left"/>
    </xf>
    <xf numFmtId="49" fontId="127" fillId="0" borderId="0" xfId="0" applyNumberFormat="1" applyFont="1" applyFill="1" applyBorder="1" applyAlignment="1" applyProtection="1">
      <alignment horizontal="left" vertical="top" wrapText="1"/>
    </xf>
    <xf numFmtId="0" fontId="129" fillId="16" borderId="0" xfId="0" applyFont="1" applyFill="1" applyBorder="1" applyAlignment="1" applyProtection="1">
      <alignment horizontal="left" vertical="center" wrapText="1"/>
    </xf>
    <xf numFmtId="0" fontId="129" fillId="16" borderId="6" xfId="0" applyFont="1" applyFill="1" applyBorder="1" applyAlignment="1" applyProtection="1">
      <alignment horizontal="left" vertical="top" wrapText="1"/>
    </xf>
    <xf numFmtId="0" fontId="129" fillId="16" borderId="4" xfId="0" applyFont="1" applyFill="1" applyBorder="1" applyAlignment="1" applyProtection="1">
      <alignment horizontal="left" vertical="center" wrapText="1"/>
    </xf>
    <xf numFmtId="0" fontId="21" fillId="16" borderId="0" xfId="0" applyFont="1" applyFill="1" applyBorder="1" applyAlignment="1" applyProtection="1">
      <alignment horizontal="left" vertical="center" wrapText="1"/>
    </xf>
    <xf numFmtId="49" fontId="127" fillId="16" borderId="0" xfId="0" applyNumberFormat="1" applyFont="1" applyFill="1" applyBorder="1" applyAlignment="1" applyProtection="1">
      <alignment horizontal="left" vertical="top" wrapText="1"/>
    </xf>
    <xf numFmtId="0" fontId="18" fillId="0" borderId="0" xfId="0" applyFont="1" applyBorder="1" applyAlignment="1" applyProtection="1">
      <alignment horizontal="center" vertical="center" wrapText="1"/>
    </xf>
    <xf numFmtId="0" fontId="23" fillId="16" borderId="0" xfId="0" applyFont="1" applyFill="1" applyBorder="1" applyAlignment="1" applyProtection="1">
      <alignment horizontal="left" vertical="center" wrapText="1"/>
    </xf>
    <xf numFmtId="0" fontId="50" fillId="0" borderId="0" xfId="0" applyFont="1" applyBorder="1" applyAlignment="1" applyProtection="1">
      <alignment horizontal="center" wrapText="1"/>
    </xf>
    <xf numFmtId="0" fontId="51" fillId="0" borderId="0" xfId="0" applyFont="1" applyFill="1" applyBorder="1" applyAlignment="1" applyProtection="1">
      <alignment horizontal="center" vertical="center" wrapText="1"/>
    </xf>
    <xf numFmtId="0" fontId="13" fillId="0" borderId="34" xfId="0" applyFont="1" applyBorder="1" applyAlignment="1" applyProtection="1">
      <alignment vertical="top" wrapText="1"/>
    </xf>
    <xf numFmtId="0" fontId="14" fillId="5" borderId="34" xfId="0" applyFont="1" applyFill="1" applyBorder="1" applyAlignment="1" applyProtection="1">
      <alignment horizontal="center" vertical="top" wrapText="1"/>
    </xf>
    <xf numFmtId="0" fontId="54" fillId="2" borderId="0" xfId="0" applyFont="1" applyFill="1" applyBorder="1" applyAlignment="1">
      <alignment horizontal="center" vertical="center"/>
    </xf>
    <xf numFmtId="0" fontId="75" fillId="2" borderId="6" xfId="0" applyFont="1" applyFill="1" applyBorder="1" applyAlignment="1" applyProtection="1">
      <alignment horizontal="left" vertical="center" wrapText="1"/>
    </xf>
    <xf numFmtId="0" fontId="129" fillId="2" borderId="15" xfId="0" applyFont="1" applyFill="1" applyBorder="1" applyAlignment="1" applyProtection="1">
      <alignment horizontal="left" vertical="center" wrapText="1"/>
    </xf>
    <xf numFmtId="0" fontId="129" fillId="2" borderId="15" xfId="0" applyFont="1" applyFill="1" applyBorder="1" applyAlignment="1" applyProtection="1">
      <alignment horizontal="left" vertical="top" wrapText="1"/>
    </xf>
    <xf numFmtId="0" fontId="71" fillId="2" borderId="6" xfId="0" applyFont="1" applyFill="1" applyBorder="1" applyAlignment="1" applyProtection="1">
      <alignment horizontal="left" vertical="center"/>
    </xf>
    <xf numFmtId="0" fontId="75" fillId="2" borderId="8" xfId="0" applyFont="1" applyFill="1" applyBorder="1" applyAlignment="1" applyProtection="1">
      <alignment horizontal="left" vertical="center" wrapText="1"/>
    </xf>
    <xf numFmtId="0" fontId="9" fillId="16" borderId="0" xfId="0" applyFont="1" applyFill="1" applyBorder="1" applyAlignment="1" applyProtection="1">
      <alignment horizontal="left"/>
    </xf>
    <xf numFmtId="0" fontId="55" fillId="0" borderId="0" xfId="0" applyFont="1" applyFill="1" applyBorder="1" applyAlignment="1" applyProtection="1"/>
    <xf numFmtId="0" fontId="58" fillId="0" borderId="0" xfId="0" applyNumberFormat="1" applyFont="1" applyFill="1" applyBorder="1" applyAlignment="1" applyProtection="1"/>
    <xf numFmtId="0" fontId="3" fillId="0" borderId="4" xfId="0" applyFont="1" applyBorder="1" applyAlignment="1" applyProtection="1">
      <alignment horizontal="left" vertical="top" wrapText="1"/>
    </xf>
    <xf numFmtId="0" fontId="23" fillId="16" borderId="4" xfId="0" applyFont="1" applyFill="1" applyBorder="1" applyAlignment="1" applyProtection="1">
      <alignment horizontal="left" vertical="center" wrapText="1"/>
    </xf>
    <xf numFmtId="0" fontId="23" fillId="16" borderId="6" xfId="0" applyFont="1" applyFill="1" applyBorder="1" applyAlignment="1" applyProtection="1">
      <alignment horizontal="left" vertical="center" wrapText="1"/>
    </xf>
    <xf numFmtId="0" fontId="13" fillId="0" borderId="6" xfId="0" applyFont="1" applyBorder="1" applyAlignment="1" applyProtection="1">
      <alignment vertical="top" wrapText="1"/>
    </xf>
    <xf numFmtId="0" fontId="9" fillId="16" borderId="4" xfId="0" applyFont="1" applyFill="1" applyBorder="1" applyAlignment="1" applyProtection="1">
      <alignment horizontal="left"/>
    </xf>
    <xf numFmtId="0" fontId="13" fillId="0" borderId="14" xfId="0" applyFont="1" applyBorder="1" applyAlignment="1" applyProtection="1">
      <alignment vertical="top" wrapText="1"/>
    </xf>
    <xf numFmtId="0" fontId="13" fillId="0" borderId="16" xfId="0" applyFont="1" applyBorder="1" applyAlignment="1" applyProtection="1">
      <alignment vertical="top" wrapText="1"/>
    </xf>
    <xf numFmtId="0" fontId="21" fillId="16" borderId="4" xfId="0" applyFont="1" applyFill="1" applyBorder="1" applyAlignment="1" applyProtection="1">
      <alignment horizontal="left" vertical="center" wrapText="1"/>
    </xf>
    <xf numFmtId="0" fontId="21" fillId="16" borderId="6" xfId="0" applyFont="1" applyFill="1" applyBorder="1" applyAlignment="1" applyProtection="1">
      <alignment horizontal="left" vertical="center" wrapText="1"/>
    </xf>
    <xf numFmtId="0" fontId="9" fillId="16" borderId="6" xfId="0" applyFont="1" applyFill="1" applyBorder="1" applyAlignment="1" applyProtection="1">
      <alignment horizontal="left"/>
    </xf>
    <xf numFmtId="0" fontId="53" fillId="0" borderId="0" xfId="0" applyFont="1" applyAlignment="1">
      <alignment vertical="center"/>
    </xf>
    <xf numFmtId="0" fontId="54" fillId="0" borderId="55" xfId="0" applyFont="1" applyBorder="1" applyAlignment="1">
      <alignment horizontal="left" vertical="center"/>
    </xf>
    <xf numFmtId="0" fontId="54" fillId="0" borderId="57" xfId="0" applyFont="1" applyBorder="1" applyAlignment="1">
      <alignment horizontal="left" vertical="center"/>
    </xf>
    <xf numFmtId="0" fontId="53" fillId="0" borderId="42" xfId="0" applyFont="1" applyBorder="1" applyAlignment="1">
      <alignment horizontal="center" vertical="center"/>
    </xf>
    <xf numFmtId="0" fontId="54" fillId="2" borderId="43" xfId="0" applyFont="1" applyFill="1" applyBorder="1" applyAlignment="1">
      <alignment horizontal="center" vertical="center"/>
    </xf>
    <xf numFmtId="0" fontId="28" fillId="2" borderId="0" xfId="0" applyFont="1" applyFill="1" applyBorder="1" applyAlignment="1">
      <alignment horizontal="left"/>
    </xf>
    <xf numFmtId="0" fontId="34" fillId="0" borderId="4" xfId="0" applyFont="1" applyBorder="1" applyAlignment="1">
      <alignment wrapText="1"/>
    </xf>
    <xf numFmtId="0" fontId="34" fillId="0" borderId="0" xfId="0" applyFont="1" applyBorder="1" applyAlignment="1">
      <alignment wrapText="1"/>
    </xf>
    <xf numFmtId="0" fontId="61" fillId="0" borderId="5" xfId="0" applyFont="1" applyFill="1" applyBorder="1" applyAlignment="1">
      <alignment wrapText="1"/>
    </xf>
    <xf numFmtId="0" fontId="34" fillId="0" borderId="6" xfId="0" applyFont="1" applyFill="1" applyBorder="1" applyAlignment="1">
      <alignment horizontal="left" wrapText="1"/>
    </xf>
    <xf numFmtId="0" fontId="28" fillId="0" borderId="0" xfId="0" applyFont="1" applyFill="1" applyBorder="1" applyAlignment="1">
      <alignment horizontal="left"/>
    </xf>
    <xf numFmtId="0" fontId="99" fillId="0" borderId="0" xfId="0" applyFont="1" applyBorder="1" applyAlignment="1">
      <alignment wrapText="1"/>
    </xf>
    <xf numFmtId="0" fontId="29" fillId="0" borderId="0" xfId="0" applyFont="1" applyBorder="1" applyAlignment="1">
      <alignment wrapText="1"/>
    </xf>
    <xf numFmtId="0" fontId="90" fillId="0" borderId="0" xfId="0" applyFont="1" applyFill="1" applyAlignment="1">
      <alignment vertical="center" wrapText="1"/>
    </xf>
    <xf numFmtId="0" fontId="61" fillId="0" borderId="5" xfId="0" applyFont="1" applyFill="1" applyBorder="1" applyAlignment="1">
      <alignment horizontal="center" textRotation="90" wrapText="1"/>
    </xf>
    <xf numFmtId="0" fontId="66" fillId="0" borderId="5" xfId="0" applyFont="1" applyBorder="1" applyAlignment="1">
      <alignment horizontal="center" vertical="center" wrapText="1"/>
    </xf>
    <xf numFmtId="0" fontId="66" fillId="0" borderId="5" xfId="0" applyFont="1" applyBorder="1" applyAlignment="1">
      <alignment vertical="top" wrapText="1"/>
    </xf>
    <xf numFmtId="0" fontId="90" fillId="0" borderId="117" xfId="0" applyFont="1" applyFill="1" applyBorder="1" applyAlignment="1">
      <alignment horizontal="center" vertical="center" wrapText="1"/>
    </xf>
    <xf numFmtId="0" fontId="66" fillId="0" borderId="0" xfId="0" applyFont="1" applyBorder="1" applyAlignment="1">
      <alignment vertical="top"/>
    </xf>
    <xf numFmtId="0" fontId="61" fillId="0" borderId="0" xfId="0" applyFont="1" applyFill="1" applyBorder="1" applyAlignment="1">
      <alignment vertical="center"/>
    </xf>
    <xf numFmtId="0" fontId="31" fillId="0" borderId="2" xfId="0" applyFont="1" applyBorder="1" applyAlignment="1">
      <alignment horizontal="center" wrapText="1"/>
    </xf>
    <xf numFmtId="0" fontId="61" fillId="0" borderId="0" xfId="0" applyFont="1" applyFill="1" applyBorder="1" applyAlignment="1">
      <alignment horizontal="center" vertical="center" wrapText="1"/>
    </xf>
    <xf numFmtId="0" fontId="64" fillId="0" borderId="0" xfId="0" applyFont="1" applyAlignment="1">
      <alignment horizontal="center" vertical="center" wrapText="1"/>
    </xf>
    <xf numFmtId="0" fontId="29" fillId="0" borderId="5" xfId="0" applyFont="1" applyBorder="1" applyAlignment="1">
      <alignment horizontal="center" vertical="top" wrapText="1"/>
    </xf>
    <xf numFmtId="0" fontId="130" fillId="0" borderId="0" xfId="0" applyFont="1" applyFill="1" applyBorder="1" applyAlignment="1">
      <alignment horizontal="center" vertical="center" wrapText="1"/>
    </xf>
    <xf numFmtId="0" fontId="131" fillId="0" borderId="0" xfId="0" applyFont="1" applyFill="1" applyBorder="1" applyAlignment="1">
      <alignment horizontal="center" vertical="center" wrapText="1"/>
    </xf>
    <xf numFmtId="0" fontId="29" fillId="0" borderId="0" xfId="0" applyFont="1" applyBorder="1" applyAlignment="1">
      <alignment horizontal="center" vertical="center" wrapText="1"/>
    </xf>
    <xf numFmtId="0" fontId="64" fillId="0" borderId="0" xfId="0" applyFont="1" applyBorder="1" applyAlignment="1">
      <alignment horizontal="center" vertical="top" wrapText="1"/>
    </xf>
    <xf numFmtId="0" fontId="64" fillId="0" borderId="0" xfId="0" applyFont="1" applyBorder="1" applyAlignment="1">
      <alignment horizontal="center" vertical="center" wrapText="1"/>
    </xf>
    <xf numFmtId="0" fontId="64" fillId="0" borderId="0" xfId="0" applyFont="1" applyBorder="1" applyAlignment="1">
      <alignment horizontal="center" vertical="center"/>
    </xf>
    <xf numFmtId="0" fontId="52" fillId="0" borderId="17" xfId="0" applyFont="1" applyFill="1" applyBorder="1" applyAlignment="1" applyProtection="1">
      <alignment horizontal="center" vertical="center" wrapText="1"/>
      <protection locked="0"/>
    </xf>
    <xf numFmtId="0" fontId="9" fillId="2" borderId="0" xfId="0" applyFont="1" applyFill="1" applyAlignment="1" applyProtection="1">
      <alignment horizontal="left" wrapText="1"/>
    </xf>
    <xf numFmtId="0" fontId="79" fillId="0" borderId="0" xfId="0" applyFont="1" applyAlignment="1" applyProtection="1">
      <alignment vertical="center" wrapText="1"/>
    </xf>
    <xf numFmtId="0" fontId="110" fillId="0" borderId="4" xfId="0" applyFont="1" applyFill="1" applyBorder="1" applyAlignment="1">
      <alignment horizontal="center" vertical="top" wrapText="1"/>
    </xf>
    <xf numFmtId="0" fontId="90" fillId="0" borderId="0" xfId="0" applyFont="1" applyFill="1" applyAlignment="1">
      <alignment horizontal="center" vertical="center"/>
    </xf>
    <xf numFmtId="0" fontId="36" fillId="0" borderId="0" xfId="0" applyFont="1" applyAlignment="1">
      <alignment vertical="top" wrapText="1"/>
    </xf>
    <xf numFmtId="0" fontId="132" fillId="0" borderId="0" xfId="0" applyFont="1" applyAlignment="1">
      <alignment vertical="top" wrapText="1"/>
    </xf>
    <xf numFmtId="0" fontId="36" fillId="0" borderId="0" xfId="0" applyFont="1" applyAlignment="1">
      <alignment horizontal="center" wrapText="1"/>
    </xf>
    <xf numFmtId="0" fontId="36" fillId="0" borderId="0" xfId="0" applyFont="1" applyAlignment="1">
      <alignment horizontal="center" vertical="center" wrapText="1"/>
    </xf>
    <xf numFmtId="1" fontId="11" fillId="0" borderId="0" xfId="1" applyNumberFormat="1" applyFont="1" applyAlignment="1">
      <alignment horizontal="center"/>
    </xf>
    <xf numFmtId="1" fontId="95" fillId="5" borderId="0" xfId="0" applyNumberFormat="1" applyFont="1" applyFill="1" applyBorder="1" applyAlignment="1">
      <alignment horizontal="center" vertical="center"/>
    </xf>
    <xf numFmtId="1" fontId="11" fillId="0" borderId="0" xfId="0" applyNumberFormat="1" applyFont="1"/>
    <xf numFmtId="1" fontId="133" fillId="5" borderId="0" xfId="0" applyNumberFormat="1" applyFont="1" applyFill="1"/>
    <xf numFmtId="9" fontId="95" fillId="5" borderId="0" xfId="1" applyFont="1" applyFill="1" applyBorder="1" applyAlignment="1">
      <alignment horizontal="center" vertical="center"/>
    </xf>
    <xf numFmtId="0" fontId="95" fillId="5" borderId="39" xfId="0" applyFont="1" applyFill="1" applyBorder="1" applyAlignment="1">
      <alignment horizontal="center" vertical="center"/>
    </xf>
    <xf numFmtId="0" fontId="95" fillId="16" borderId="0" xfId="0" applyFont="1" applyFill="1" applyBorder="1" applyAlignment="1">
      <alignment horizontal="center" vertical="center"/>
    </xf>
    <xf numFmtId="0" fontId="12" fillId="0" borderId="0" xfId="0" applyFont="1"/>
    <xf numFmtId="0" fontId="91" fillId="0" borderId="0" xfId="0" applyFont="1" applyAlignment="1">
      <alignment vertical="top" wrapText="1"/>
    </xf>
    <xf numFmtId="0" fontId="134" fillId="0" borderId="0" xfId="0" applyFont="1" applyAlignment="1">
      <alignment horizontal="center" vertical="center" wrapText="1"/>
    </xf>
    <xf numFmtId="0" fontId="125" fillId="0" borderId="0" xfId="0" applyFont="1" applyAlignment="1">
      <alignment vertical="top" wrapText="1"/>
    </xf>
    <xf numFmtId="0" fontId="125" fillId="0" borderId="0" xfId="0" applyFont="1" applyAlignment="1">
      <alignment horizontal="center" vertical="top" wrapText="1"/>
    </xf>
    <xf numFmtId="0" fontId="125" fillId="0" borderId="0" xfId="0" applyFont="1" applyAlignment="1">
      <alignment horizontal="center" vertical="center" wrapText="1"/>
    </xf>
    <xf numFmtId="0" fontId="125" fillId="0" borderId="0" xfId="0" applyFont="1" applyFill="1" applyBorder="1" applyAlignment="1">
      <alignment horizontal="center" vertical="top" wrapText="1"/>
    </xf>
    <xf numFmtId="0" fontId="131" fillId="22" borderId="0" xfId="0" applyFont="1" applyFill="1" applyAlignment="1">
      <alignment horizontal="center" vertical="center" wrapText="1"/>
    </xf>
    <xf numFmtId="0" fontId="135" fillId="0" borderId="0" xfId="0" applyFont="1" applyAlignment="1">
      <alignment horizontal="center" vertical="center" wrapText="1"/>
    </xf>
    <xf numFmtId="0" fontId="136" fillId="0" borderId="0" xfId="0" applyFont="1" applyAlignment="1">
      <alignment vertical="top" wrapText="1"/>
    </xf>
    <xf numFmtId="0" fontId="10" fillId="16" borderId="1" xfId="0" applyFont="1" applyFill="1" applyBorder="1" applyAlignment="1" applyProtection="1">
      <alignment wrapText="1"/>
    </xf>
    <xf numFmtId="0" fontId="93" fillId="16" borderId="2" xfId="0" applyFont="1" applyFill="1" applyBorder="1" applyAlignment="1" applyProtection="1">
      <alignment horizontal="left"/>
    </xf>
    <xf numFmtId="0" fontId="8" fillId="16" borderId="3" xfId="0" applyFont="1" applyFill="1" applyBorder="1" applyAlignment="1" applyProtection="1">
      <alignment horizontal="left" wrapText="1"/>
    </xf>
    <xf numFmtId="0" fontId="9" fillId="16" borderId="4" xfId="0" applyFont="1" applyFill="1" applyBorder="1" applyAlignment="1" applyProtection="1"/>
    <xf numFmtId="0" fontId="3" fillId="16" borderId="6" xfId="0" applyFont="1" applyFill="1" applyBorder="1" applyAlignment="1" applyProtection="1">
      <alignment wrapText="1"/>
    </xf>
    <xf numFmtId="0" fontId="18" fillId="16" borderId="14" xfId="0" applyFont="1" applyFill="1" applyBorder="1" applyAlignment="1" applyProtection="1">
      <alignment horizontal="center" vertical="center" wrapText="1"/>
    </xf>
    <xf numFmtId="0" fontId="18" fillId="16" borderId="5" xfId="0" applyFont="1" applyFill="1" applyBorder="1" applyAlignment="1" applyProtection="1">
      <alignment horizontal="center" vertical="center" wrapText="1"/>
    </xf>
    <xf numFmtId="0" fontId="20" fillId="16" borderId="5" xfId="0" applyFont="1" applyFill="1" applyBorder="1" applyAlignment="1" applyProtection="1">
      <alignment horizontal="right" vertical="top" wrapText="1"/>
    </xf>
    <xf numFmtId="0" fontId="13" fillId="16" borderId="16" xfId="0" applyFont="1" applyFill="1" applyBorder="1" applyAlignment="1" applyProtection="1">
      <alignment horizontal="center" vertical="top" wrapText="1"/>
    </xf>
    <xf numFmtId="0" fontId="50" fillId="16" borderId="35" xfId="0" applyFont="1" applyFill="1" applyBorder="1" applyAlignment="1" applyProtection="1">
      <alignment horizontal="left" vertical="center"/>
    </xf>
    <xf numFmtId="0" fontId="9" fillId="2" borderId="0" xfId="0" applyFont="1" applyFill="1" applyAlignment="1" applyProtection="1">
      <alignment horizontal="left"/>
      <protection locked="0"/>
    </xf>
    <xf numFmtId="0" fontId="39" fillId="16" borderId="4" xfId="0" applyFont="1" applyFill="1" applyBorder="1" applyAlignment="1" applyProtection="1">
      <protection locked="0"/>
    </xf>
    <xf numFmtId="0" fontId="3" fillId="16" borderId="6" xfId="0" applyFont="1" applyFill="1" applyBorder="1" applyAlignment="1" applyProtection="1">
      <alignment wrapText="1"/>
      <protection locked="0"/>
    </xf>
    <xf numFmtId="0" fontId="9" fillId="2" borderId="0" xfId="0" applyFont="1" applyFill="1" applyBorder="1" applyAlignment="1" applyProtection="1">
      <alignment horizontal="left"/>
      <protection locked="0"/>
    </xf>
    <xf numFmtId="0" fontId="0" fillId="16" borderId="0" xfId="0" applyFill="1" applyProtection="1">
      <protection locked="0"/>
    </xf>
    <xf numFmtId="0" fontId="3" fillId="16" borderId="18" xfId="0" applyFont="1" applyFill="1" applyBorder="1" applyAlignment="1" applyProtection="1">
      <alignment vertical="center" wrapText="1"/>
      <protection locked="0"/>
    </xf>
    <xf numFmtId="14" fontId="3" fillId="16" borderId="69" xfId="0" applyNumberFormat="1" applyFont="1" applyFill="1" applyBorder="1" applyAlignment="1" applyProtection="1">
      <alignment horizontal="center" vertical="center" wrapText="1"/>
      <protection locked="0"/>
    </xf>
    <xf numFmtId="0" fontId="3" fillId="16" borderId="19" xfId="0" applyFont="1" applyFill="1" applyBorder="1" applyAlignment="1" applyProtection="1">
      <alignment vertical="center" wrapText="1"/>
      <protection locked="0"/>
    </xf>
    <xf numFmtId="0" fontId="3" fillId="16" borderId="69" xfId="0" applyFont="1" applyFill="1" applyBorder="1" applyAlignment="1" applyProtection="1">
      <alignment horizontal="center" vertical="center" wrapText="1"/>
      <protection locked="0"/>
    </xf>
    <xf numFmtId="0" fontId="0" fillId="16" borderId="1" xfId="0" applyFill="1" applyBorder="1"/>
    <xf numFmtId="0" fontId="0" fillId="16" borderId="2" xfId="0" applyFill="1" applyBorder="1"/>
    <xf numFmtId="0" fontId="0" fillId="16" borderId="3" xfId="0" applyFill="1" applyBorder="1"/>
    <xf numFmtId="0" fontId="0" fillId="16" borderId="4" xfId="0" applyFill="1" applyBorder="1"/>
    <xf numFmtId="0" fontId="0" fillId="16" borderId="0" xfId="0" applyFill="1" applyBorder="1"/>
    <xf numFmtId="0" fontId="0" fillId="16" borderId="6" xfId="0" applyFill="1" applyBorder="1"/>
    <xf numFmtId="0" fontId="0" fillId="16" borderId="14" xfId="0" applyFill="1" applyBorder="1"/>
    <xf numFmtId="0" fontId="0" fillId="16" borderId="5" xfId="0" applyFill="1" applyBorder="1"/>
    <xf numFmtId="0" fontId="0" fillId="16" borderId="16" xfId="0" applyFill="1" applyBorder="1"/>
    <xf numFmtId="0" fontId="138" fillId="0" borderId="5" xfId="0" applyFont="1" applyBorder="1" applyAlignment="1">
      <alignment horizontal="center" wrapText="1"/>
    </xf>
    <xf numFmtId="0" fontId="139" fillId="0" borderId="15" xfId="0" applyFont="1" applyFill="1" applyBorder="1" applyAlignment="1">
      <alignment wrapText="1"/>
    </xf>
    <xf numFmtId="0" fontId="140" fillId="0" borderId="0" xfId="0" applyFont="1" applyAlignment="1">
      <alignment horizontal="left" vertical="center"/>
    </xf>
    <xf numFmtId="0" fontId="99" fillId="2" borderId="0" xfId="0" applyFont="1" applyFill="1" applyAlignment="1">
      <alignment vertical="top" wrapText="1"/>
    </xf>
    <xf numFmtId="0" fontId="29" fillId="2" borderId="0" xfId="0" applyFont="1" applyFill="1" applyAlignment="1">
      <alignment vertical="top" wrapText="1"/>
    </xf>
    <xf numFmtId="0" fontId="138" fillId="16" borderId="18" xfId="0" applyFont="1" applyFill="1" applyBorder="1" applyAlignment="1">
      <alignment horizontal="center" vertical="center" wrapText="1"/>
    </xf>
    <xf numFmtId="0" fontId="29" fillId="24" borderId="15" xfId="0" applyFont="1" applyFill="1" applyBorder="1" applyAlignment="1">
      <alignment vertical="top" wrapText="1"/>
    </xf>
    <xf numFmtId="0" fontId="29" fillId="6" borderId="15" xfId="0" applyFont="1" applyFill="1" applyBorder="1" applyAlignment="1">
      <alignment vertical="top" wrapText="1"/>
    </xf>
    <xf numFmtId="0" fontId="29" fillId="25" borderId="15" xfId="0" applyFont="1" applyFill="1" applyBorder="1" applyAlignment="1">
      <alignment vertical="top" wrapText="1"/>
    </xf>
    <xf numFmtId="0" fontId="29" fillId="23" borderId="15" xfId="0" applyFont="1" applyFill="1" applyBorder="1" applyAlignment="1">
      <alignment vertical="top" wrapText="1"/>
    </xf>
    <xf numFmtId="0" fontId="29" fillId="15" borderId="19" xfId="0" applyFont="1" applyFill="1" applyBorder="1" applyAlignment="1">
      <alignment vertical="top" wrapText="1"/>
    </xf>
    <xf numFmtId="0" fontId="57" fillId="0" borderId="18" xfId="0" applyFont="1" applyFill="1" applyBorder="1" applyAlignment="1">
      <alignment vertical="center"/>
    </xf>
    <xf numFmtId="0" fontId="34" fillId="24" borderId="15" xfId="0" applyFont="1" applyFill="1" applyBorder="1" applyAlignment="1">
      <alignment vertical="top" wrapText="1"/>
    </xf>
    <xf numFmtId="0" fontId="34" fillId="6" borderId="15" xfId="0" applyFont="1" applyFill="1" applyBorder="1" applyAlignment="1">
      <alignment vertical="top" wrapText="1"/>
    </xf>
    <xf numFmtId="0" fontId="34" fillId="25" borderId="15" xfId="0" applyFont="1" applyFill="1" applyBorder="1" applyAlignment="1">
      <alignment vertical="top" wrapText="1"/>
    </xf>
    <xf numFmtId="0" fontId="34" fillId="23" borderId="15" xfId="0" applyFont="1" applyFill="1" applyBorder="1" applyAlignment="1">
      <alignment vertical="top" wrapText="1"/>
    </xf>
    <xf numFmtId="0" fontId="34" fillId="15" borderId="19" xfId="0" applyFont="1" applyFill="1" applyBorder="1" applyAlignment="1">
      <alignment vertical="top" wrapText="1"/>
    </xf>
    <xf numFmtId="0" fontId="0" fillId="16" borderId="0" xfId="0" applyFill="1" applyAlignment="1">
      <alignment wrapText="1"/>
    </xf>
    <xf numFmtId="0" fontId="66" fillId="0" borderId="0" xfId="0" applyFont="1" applyAlignment="1">
      <alignment vertical="top" wrapText="1"/>
    </xf>
    <xf numFmtId="0" fontId="52" fillId="0" borderId="0" xfId="0" applyFont="1" applyFill="1" applyBorder="1" applyAlignment="1" applyProtection="1">
      <alignment horizontal="left" vertical="center" wrapText="1"/>
    </xf>
    <xf numFmtId="0" fontId="16" fillId="2" borderId="5" xfId="0" applyFont="1" applyFill="1" applyBorder="1" applyAlignment="1" applyProtection="1">
      <alignment horizontal="left" vertical="center"/>
    </xf>
    <xf numFmtId="0" fontId="51" fillId="0" borderId="2" xfId="0" applyFont="1" applyFill="1" applyBorder="1" applyAlignment="1" applyProtection="1">
      <alignment horizontal="center"/>
    </xf>
    <xf numFmtId="0" fontId="32" fillId="0" borderId="8" xfId="0" applyFont="1" applyFill="1" applyBorder="1" applyAlignment="1">
      <alignment wrapText="1"/>
    </xf>
    <xf numFmtId="0" fontId="59" fillId="2" borderId="5" xfId="0" applyFont="1" applyFill="1" applyBorder="1" applyAlignment="1" applyProtection="1">
      <alignment horizontal="left" vertical="top" wrapText="1"/>
    </xf>
    <xf numFmtId="0" fontId="59" fillId="0" borderId="1" xfId="0" applyFont="1" applyFill="1" applyBorder="1" applyAlignment="1" applyProtection="1">
      <alignment horizontal="left" vertical="top" wrapText="1"/>
    </xf>
    <xf numFmtId="0" fontId="48" fillId="0" borderId="8" xfId="0" applyFont="1" applyFill="1" applyBorder="1" applyAlignment="1" applyProtection="1">
      <alignment horizontal="center" vertical="center" wrapText="1"/>
    </xf>
    <xf numFmtId="0" fontId="48" fillId="0" borderId="4" xfId="0" applyFont="1" applyFill="1" applyBorder="1" applyAlignment="1" applyProtection="1">
      <alignment horizontal="center" vertical="center" wrapText="1"/>
    </xf>
    <xf numFmtId="0" fontId="22" fillId="0" borderId="14" xfId="0" applyFont="1" applyFill="1" applyBorder="1" applyAlignment="1" applyProtection="1">
      <alignment vertical="center" wrapText="1"/>
    </xf>
    <xf numFmtId="0" fontId="50" fillId="0" borderId="2" xfId="0" applyFont="1" applyFill="1" applyBorder="1" applyAlignment="1" applyProtection="1">
      <alignment horizontal="left" vertical="center"/>
    </xf>
    <xf numFmtId="0" fontId="101" fillId="0" borderId="3" xfId="0" applyFont="1" applyBorder="1" applyAlignment="1" applyProtection="1">
      <alignment vertical="center" wrapText="1"/>
    </xf>
    <xf numFmtId="0" fontId="101" fillId="0" borderId="6" xfId="0" applyFont="1" applyBorder="1" applyAlignment="1" applyProtection="1">
      <alignment vertical="center" wrapText="1"/>
    </xf>
    <xf numFmtId="0" fontId="3" fillId="0" borderId="5" xfId="0" applyFont="1" applyBorder="1" applyAlignment="1" applyProtection="1">
      <alignment horizontal="left" vertical="center" wrapText="1"/>
    </xf>
    <xf numFmtId="0" fontId="101" fillId="0" borderId="5" xfId="0" applyFont="1" applyBorder="1" applyAlignment="1" applyProtection="1">
      <alignment vertical="center" wrapText="1"/>
    </xf>
    <xf numFmtId="0" fontId="101" fillId="0" borderId="16" xfId="0" applyFont="1" applyBorder="1" applyAlignment="1" applyProtection="1">
      <alignment vertical="center" wrapText="1"/>
    </xf>
    <xf numFmtId="0" fontId="7"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23" fillId="0" borderId="0" xfId="0" applyFont="1" applyFill="1" applyBorder="1" applyAlignment="1" applyProtection="1">
      <alignment horizontal="left" wrapText="1"/>
    </xf>
    <xf numFmtId="0" fontId="23" fillId="0" borderId="0" xfId="0" applyFont="1" applyFill="1" applyBorder="1" applyAlignment="1" applyProtection="1">
      <alignment horizontal="left" vertical="center" wrapText="1"/>
    </xf>
    <xf numFmtId="0" fontId="9" fillId="0" borderId="0" xfId="0" applyFont="1" applyFill="1" applyBorder="1" applyAlignment="1" applyProtection="1">
      <alignment horizontal="left" vertical="center"/>
    </xf>
    <xf numFmtId="0" fontId="13" fillId="16" borderId="4" xfId="0" applyFont="1" applyFill="1" applyBorder="1" applyAlignment="1" applyProtection="1">
      <alignment horizontal="left" vertical="center" wrapText="1"/>
    </xf>
    <xf numFmtId="0" fontId="137" fillId="16" borderId="0" xfId="0" applyFont="1" applyFill="1" applyBorder="1" applyAlignment="1" applyProtection="1">
      <alignment horizontal="left" vertical="center" wrapText="1"/>
    </xf>
    <xf numFmtId="0" fontId="13" fillId="16" borderId="6" xfId="0" applyFont="1" applyFill="1" applyBorder="1" applyAlignment="1" applyProtection="1">
      <alignment horizontal="left" vertical="center" wrapText="1"/>
    </xf>
    <xf numFmtId="0" fontId="0" fillId="16" borderId="0" xfId="0" applyFill="1" applyAlignment="1">
      <alignment horizontal="left" vertical="center"/>
    </xf>
    <xf numFmtId="0" fontId="3" fillId="0" borderId="17" xfId="0" applyFont="1" applyBorder="1" applyAlignment="1" applyProtection="1">
      <alignment horizontal="left" vertical="center" wrapText="1"/>
      <protection locked="0"/>
    </xf>
    <xf numFmtId="0" fontId="101" fillId="0" borderId="17" xfId="0" applyFont="1" applyBorder="1" applyAlignment="1" applyProtection="1">
      <alignment vertical="center" wrapText="1"/>
      <protection locked="0"/>
    </xf>
    <xf numFmtId="0" fontId="59" fillId="0" borderId="17" xfId="0" applyFont="1" applyFill="1" applyBorder="1" applyAlignment="1" applyProtection="1">
      <alignment horizontal="left" vertical="top" wrapText="1"/>
      <protection locked="0"/>
    </xf>
    <xf numFmtId="0" fontId="0" fillId="0" borderId="0" xfId="0" applyBorder="1"/>
    <xf numFmtId="0" fontId="44" fillId="0" borderId="0" xfId="0" applyFont="1" applyFill="1" applyBorder="1" applyAlignment="1">
      <alignment horizontal="left"/>
    </xf>
    <xf numFmtId="0" fontId="47" fillId="0" borderId="1" xfId="0" applyFont="1" applyBorder="1" applyAlignment="1" applyProtection="1">
      <alignment vertical="top" wrapText="1"/>
    </xf>
    <xf numFmtId="0" fontId="47" fillId="0" borderId="2" xfId="0" applyFont="1" applyBorder="1" applyAlignment="1" applyProtection="1">
      <alignment vertical="top" wrapText="1"/>
    </xf>
    <xf numFmtId="0" fontId="47" fillId="0" borderId="3" xfId="0" applyFont="1" applyBorder="1" applyAlignment="1" applyProtection="1">
      <alignment vertical="top" wrapText="1"/>
    </xf>
    <xf numFmtId="0" fontId="47" fillId="0" borderId="4" xfId="0" applyFont="1" applyBorder="1" applyAlignment="1" applyProtection="1">
      <alignment vertical="top" wrapText="1"/>
    </xf>
    <xf numFmtId="0" fontId="47" fillId="0" borderId="6" xfId="0" applyFont="1" applyBorder="1" applyAlignment="1" applyProtection="1">
      <alignment vertical="top" wrapText="1"/>
    </xf>
    <xf numFmtId="0" fontId="47" fillId="0" borderId="14" xfId="0" applyFont="1" applyBorder="1" applyAlignment="1" applyProtection="1">
      <alignment vertical="top" wrapText="1"/>
    </xf>
    <xf numFmtId="0" fontId="47" fillId="0" borderId="16" xfId="0" applyFont="1" applyBorder="1" applyAlignment="1" applyProtection="1">
      <alignment vertical="top" wrapText="1"/>
    </xf>
    <xf numFmtId="0" fontId="47" fillId="0" borderId="2" xfId="0" applyFont="1" applyBorder="1" applyAlignment="1" applyProtection="1">
      <alignment vertical="top"/>
    </xf>
    <xf numFmtId="0" fontId="47" fillId="0" borderId="3" xfId="0" applyFont="1" applyBorder="1" applyAlignment="1" applyProtection="1">
      <alignment vertical="top"/>
    </xf>
    <xf numFmtId="0" fontId="47" fillId="0" borderId="4" xfId="0" applyFont="1" applyBorder="1" applyAlignment="1" applyProtection="1">
      <alignment vertical="top"/>
    </xf>
    <xf numFmtId="0" fontId="47" fillId="0" borderId="6" xfId="0" applyFont="1" applyBorder="1" applyAlignment="1" applyProtection="1">
      <alignment vertical="top"/>
    </xf>
    <xf numFmtId="0" fontId="47" fillId="0" borderId="14" xfId="0" applyFont="1" applyBorder="1" applyAlignment="1" applyProtection="1">
      <alignment vertical="top"/>
    </xf>
    <xf numFmtId="0" fontId="47" fillId="0" borderId="16" xfId="0" applyFont="1" applyBorder="1" applyAlignment="1" applyProtection="1">
      <alignment vertical="top"/>
    </xf>
    <xf numFmtId="0" fontId="143" fillId="0" borderId="1" xfId="0" applyFont="1" applyBorder="1" applyAlignment="1" applyProtection="1">
      <alignment vertical="top"/>
    </xf>
    <xf numFmtId="0" fontId="143" fillId="0" borderId="2" xfId="0" applyFont="1" applyBorder="1" applyAlignment="1" applyProtection="1">
      <alignment vertical="top"/>
    </xf>
    <xf numFmtId="0" fontId="143" fillId="0" borderId="3" xfId="0" applyFont="1" applyBorder="1" applyAlignment="1" applyProtection="1">
      <alignment vertical="top"/>
    </xf>
    <xf numFmtId="0" fontId="143" fillId="0" borderId="4" xfId="0" applyFont="1" applyBorder="1" applyAlignment="1" applyProtection="1">
      <alignment vertical="top"/>
    </xf>
    <xf numFmtId="0" fontId="143" fillId="0" borderId="6" xfId="0" applyFont="1" applyBorder="1" applyAlignment="1" applyProtection="1">
      <alignment vertical="top"/>
    </xf>
    <xf numFmtId="0" fontId="143" fillId="0" borderId="14" xfId="0" applyFont="1" applyBorder="1" applyAlignment="1" applyProtection="1">
      <alignment vertical="top"/>
    </xf>
    <xf numFmtId="0" fontId="143" fillId="0" borderId="16" xfId="0" applyFont="1" applyBorder="1" applyAlignment="1" applyProtection="1">
      <alignment vertical="top"/>
    </xf>
    <xf numFmtId="0" fontId="143" fillId="0" borderId="1" xfId="0" applyFont="1" applyBorder="1" applyAlignment="1" applyProtection="1">
      <alignment vertical="top" wrapText="1"/>
    </xf>
    <xf numFmtId="0" fontId="143" fillId="0" borderId="2" xfId="0" applyFont="1" applyBorder="1" applyAlignment="1" applyProtection="1">
      <alignment vertical="top" wrapText="1"/>
    </xf>
    <xf numFmtId="0" fontId="143" fillId="0" borderId="3" xfId="0" applyFont="1" applyBorder="1" applyAlignment="1" applyProtection="1">
      <alignment vertical="top" wrapText="1"/>
    </xf>
    <xf numFmtId="0" fontId="143" fillId="0" borderId="4" xfId="0" applyFont="1" applyBorder="1" applyAlignment="1" applyProtection="1">
      <alignment vertical="top" wrapText="1"/>
    </xf>
    <xf numFmtId="0" fontId="143" fillId="0" borderId="6" xfId="0" applyFont="1" applyBorder="1" applyAlignment="1" applyProtection="1">
      <alignment vertical="top" wrapText="1"/>
    </xf>
    <xf numFmtId="0" fontId="143" fillId="0" borderId="14" xfId="0" applyFont="1" applyBorder="1" applyAlignment="1" applyProtection="1">
      <alignment vertical="top" wrapText="1"/>
    </xf>
    <xf numFmtId="0" fontId="143" fillId="0" borderId="16" xfId="0" applyFont="1" applyBorder="1" applyAlignment="1" applyProtection="1">
      <alignment vertical="top" wrapText="1"/>
    </xf>
    <xf numFmtId="0" fontId="20" fillId="2" borderId="0" xfId="0" applyFont="1" applyFill="1" applyBorder="1" applyAlignment="1" applyProtection="1">
      <alignment horizontal="left" vertical="top"/>
    </xf>
    <xf numFmtId="0" fontId="141" fillId="0" borderId="7" xfId="0" applyFont="1" applyBorder="1" applyAlignment="1">
      <alignment wrapText="1"/>
    </xf>
    <xf numFmtId="0" fontId="34" fillId="0" borderId="8" xfId="0" applyFont="1" applyBorder="1" applyAlignment="1">
      <alignment vertical="top" wrapText="1"/>
    </xf>
    <xf numFmtId="0" fontId="141" fillId="0" borderId="7" xfId="0" applyFont="1" applyFill="1" applyBorder="1" applyAlignment="1">
      <alignment wrapText="1"/>
    </xf>
    <xf numFmtId="0" fontId="141" fillId="0" borderId="8" xfId="0" applyFont="1" applyFill="1" applyBorder="1" applyAlignment="1">
      <alignment wrapText="1"/>
    </xf>
    <xf numFmtId="0" fontId="99" fillId="2" borderId="0" xfId="0" applyFont="1" applyFill="1" applyAlignment="1">
      <alignment vertical="center" wrapText="1"/>
    </xf>
    <xf numFmtId="0" fontId="29" fillId="2" borderId="0" xfId="0" applyFont="1" applyFill="1" applyAlignment="1">
      <alignment vertical="center" wrapText="1"/>
    </xf>
    <xf numFmtId="0" fontId="0" fillId="2" borderId="0" xfId="0" applyFill="1"/>
    <xf numFmtId="49" fontId="55" fillId="2" borderId="0" xfId="0" applyNumberFormat="1" applyFont="1" applyFill="1" applyBorder="1" applyAlignment="1" applyProtection="1"/>
    <xf numFmtId="0" fontId="112" fillId="2" borderId="0" xfId="0" applyNumberFormat="1" applyFont="1" applyFill="1" applyBorder="1" applyAlignment="1" applyProtection="1">
      <alignment horizontal="left"/>
    </xf>
    <xf numFmtId="49" fontId="55" fillId="26" borderId="0" xfId="0" applyNumberFormat="1" applyFont="1" applyFill="1" applyBorder="1" applyAlignment="1" applyProtection="1"/>
    <xf numFmtId="0" fontId="58" fillId="26" borderId="0" xfId="0" applyNumberFormat="1" applyFont="1" applyFill="1" applyBorder="1" applyAlignment="1" applyProtection="1">
      <alignment horizontal="left"/>
    </xf>
    <xf numFmtId="0" fontId="112" fillId="26" borderId="0" xfId="0" applyNumberFormat="1" applyFont="1" applyFill="1" applyBorder="1" applyAlignment="1" applyProtection="1">
      <alignment horizontal="left"/>
    </xf>
    <xf numFmtId="0" fontId="58" fillId="26" borderId="0" xfId="0" applyFont="1" applyFill="1" applyBorder="1" applyAlignment="1" applyProtection="1"/>
    <xf numFmtId="0" fontId="112" fillId="26" borderId="0" xfId="0" applyFont="1" applyFill="1" applyBorder="1" applyAlignment="1" applyProtection="1"/>
    <xf numFmtId="0" fontId="112" fillId="2" borderId="0" xfId="0" applyFont="1" applyFill="1" applyBorder="1" applyAlignment="1" applyProtection="1"/>
    <xf numFmtId="0" fontId="58" fillId="2" borderId="0" xfId="0" applyFont="1" applyFill="1" applyBorder="1" applyAlignment="1" applyProtection="1"/>
    <xf numFmtId="49" fontId="5" fillId="26" borderId="0" xfId="0" applyNumberFormat="1" applyFont="1" applyFill="1" applyBorder="1" applyAlignment="1" applyProtection="1">
      <alignment horizontal="left" vertical="top" wrapText="1"/>
    </xf>
    <xf numFmtId="49" fontId="17" fillId="2" borderId="0" xfId="0" applyNumberFormat="1" applyFont="1" applyFill="1" applyBorder="1" applyAlignment="1" applyProtection="1">
      <alignment horizontal="left" vertical="top" wrapText="1"/>
    </xf>
    <xf numFmtId="0" fontId="14" fillId="5" borderId="8" xfId="0" applyFont="1" applyFill="1" applyBorder="1" applyAlignment="1" applyProtection="1">
      <alignment horizontal="left" vertical="top"/>
    </xf>
    <xf numFmtId="0" fontId="14" fillId="5" borderId="119" xfId="0" applyFont="1" applyFill="1" applyBorder="1" applyAlignment="1" applyProtection="1">
      <alignment horizontal="left" vertical="top"/>
    </xf>
    <xf numFmtId="0" fontId="13" fillId="26" borderId="8" xfId="0" applyFont="1" applyFill="1" applyBorder="1" applyAlignment="1" applyProtection="1">
      <alignment horizontal="center" vertical="top" wrapText="1"/>
      <protection locked="0"/>
    </xf>
    <xf numFmtId="0" fontId="128" fillId="26" borderId="8" xfId="0" applyFont="1" applyFill="1" applyBorder="1" applyAlignment="1" applyProtection="1">
      <alignment horizontal="center" vertical="top" wrapText="1"/>
      <protection locked="0"/>
    </xf>
    <xf numFmtId="0" fontId="128" fillId="2" borderId="8" xfId="0" applyFont="1" applyFill="1" applyBorder="1" applyAlignment="1" applyProtection="1">
      <alignment horizontal="center" vertical="top" wrapText="1"/>
      <protection locked="0"/>
    </xf>
    <xf numFmtId="0" fontId="13" fillId="2" borderId="8" xfId="0" applyFont="1" applyFill="1" applyBorder="1" applyAlignment="1" applyProtection="1">
      <alignment horizontal="center" vertical="top" wrapText="1"/>
      <protection locked="0"/>
    </xf>
    <xf numFmtId="0" fontId="13" fillId="2" borderId="8" xfId="0" applyFont="1" applyFill="1" applyBorder="1" applyAlignment="1" applyProtection="1">
      <alignment vertical="top" wrapText="1"/>
      <protection locked="0"/>
    </xf>
    <xf numFmtId="0" fontId="13" fillId="0" borderId="8" xfId="0" applyFont="1" applyFill="1" applyBorder="1" applyAlignment="1" applyProtection="1">
      <alignment horizontal="center" vertical="top" wrapText="1"/>
      <protection locked="0"/>
    </xf>
    <xf numFmtId="0" fontId="13" fillId="0" borderId="8" xfId="0" applyFont="1" applyFill="1" applyBorder="1" applyAlignment="1" applyProtection="1">
      <alignment vertical="top" wrapText="1"/>
      <protection locked="0"/>
    </xf>
    <xf numFmtId="0" fontId="128" fillId="0" borderId="8" xfId="0" applyFont="1" applyFill="1" applyBorder="1" applyAlignment="1" applyProtection="1">
      <alignment horizontal="center" vertical="top" wrapText="1"/>
      <protection locked="0"/>
    </xf>
    <xf numFmtId="0" fontId="128" fillId="16" borderId="8" xfId="0" applyFont="1" applyFill="1" applyBorder="1" applyAlignment="1" applyProtection="1">
      <alignment horizontal="center" vertical="top" wrapText="1"/>
      <protection locked="0"/>
    </xf>
    <xf numFmtId="9" fontId="58" fillId="2" borderId="0" xfId="0" applyNumberFormat="1" applyFont="1" applyFill="1" applyBorder="1" applyAlignment="1" applyProtection="1">
      <alignment horizontal="left"/>
    </xf>
    <xf numFmtId="0" fontId="55" fillId="2" borderId="0" xfId="0" applyFont="1" applyFill="1" applyBorder="1" applyAlignment="1" applyProtection="1"/>
    <xf numFmtId="0" fontId="13" fillId="2" borderId="0" xfId="0" applyFont="1" applyFill="1" applyAlignment="1" applyProtection="1">
      <alignment horizontal="center" vertical="top" wrapText="1"/>
    </xf>
    <xf numFmtId="0" fontId="13" fillId="2" borderId="0" xfId="0" applyFont="1" applyFill="1" applyAlignment="1" applyProtection="1">
      <alignment vertical="top" wrapText="1"/>
    </xf>
    <xf numFmtId="0" fontId="145" fillId="0" borderId="0" xfId="0" applyFont="1" applyAlignment="1" applyProtection="1">
      <alignment vertical="top"/>
    </xf>
    <xf numFmtId="0" fontId="58" fillId="26" borderId="0" xfId="0" applyNumberFormat="1" applyFont="1" applyFill="1" applyBorder="1" applyAlignment="1" applyProtection="1">
      <alignment horizontal="center"/>
    </xf>
    <xf numFmtId="0" fontId="112" fillId="26" borderId="0" xfId="0" applyNumberFormat="1" applyFont="1" applyFill="1" applyBorder="1" applyAlignment="1" applyProtection="1">
      <alignment horizontal="center"/>
    </xf>
    <xf numFmtId="9" fontId="58" fillId="2" borderId="0" xfId="0" applyNumberFormat="1" applyFont="1" applyFill="1" applyBorder="1" applyAlignment="1" applyProtection="1">
      <alignment horizontal="center"/>
    </xf>
    <xf numFmtId="0" fontId="112" fillId="2" borderId="0" xfId="0" applyNumberFormat="1" applyFont="1" applyFill="1" applyBorder="1" applyAlignment="1" applyProtection="1">
      <alignment horizontal="center"/>
    </xf>
    <xf numFmtId="0" fontId="58" fillId="0" borderId="0" xfId="0" applyNumberFormat="1" applyFont="1" applyFill="1" applyBorder="1" applyAlignment="1" applyProtection="1">
      <alignment horizontal="center"/>
    </xf>
    <xf numFmtId="1" fontId="112" fillId="0" borderId="0" xfId="0" applyNumberFormat="1" applyFont="1" applyFill="1" applyBorder="1" applyAlignment="1" applyProtection="1">
      <alignment horizontal="center"/>
    </xf>
    <xf numFmtId="0" fontId="58" fillId="0" borderId="0" xfId="0" applyFont="1" applyFill="1" applyBorder="1" applyAlignment="1" applyProtection="1">
      <alignment horizontal="center"/>
    </xf>
    <xf numFmtId="0" fontId="55" fillId="0" borderId="0" xfId="0" applyNumberFormat="1" applyFont="1" applyFill="1" applyBorder="1" applyAlignment="1" applyProtection="1">
      <alignment horizontal="center"/>
    </xf>
    <xf numFmtId="0" fontId="112" fillId="0" borderId="0" xfId="0" applyNumberFormat="1" applyFont="1" applyFill="1" applyBorder="1" applyAlignment="1" applyProtection="1">
      <alignment horizontal="center"/>
    </xf>
    <xf numFmtId="0" fontId="9" fillId="2" borderId="0" xfId="0" applyFont="1" applyFill="1" applyBorder="1" applyAlignment="1" applyProtection="1">
      <alignment horizontal="center"/>
    </xf>
    <xf numFmtId="0" fontId="52" fillId="0" borderId="0" xfId="0" applyFont="1" applyFill="1" applyBorder="1" applyAlignment="1" applyProtection="1">
      <alignment horizontal="left" vertical="center" wrapText="1"/>
    </xf>
    <xf numFmtId="0" fontId="42" fillId="2" borderId="0" xfId="0" applyFont="1" applyFill="1" applyAlignment="1">
      <alignment horizontal="center" vertical="top"/>
    </xf>
    <xf numFmtId="0" fontId="58" fillId="0" borderId="0" xfId="0" applyFont="1" applyFill="1" applyBorder="1" applyAlignment="1" applyProtection="1">
      <alignment vertical="center" wrapText="1"/>
    </xf>
    <xf numFmtId="0" fontId="38" fillId="2" borderId="0" xfId="0" applyFont="1" applyFill="1" applyBorder="1" applyAlignment="1">
      <alignment horizontal="left" vertical="top" wrapText="1"/>
    </xf>
    <xf numFmtId="0" fontId="38" fillId="2" borderId="0" xfId="0" applyFont="1" applyFill="1" applyBorder="1" applyAlignment="1">
      <alignment vertical="top" wrapText="1"/>
    </xf>
    <xf numFmtId="0" fontId="38" fillId="16" borderId="17" xfId="0" applyFont="1" applyFill="1" applyBorder="1" applyAlignment="1">
      <alignment horizontal="left" vertical="top" wrapText="1"/>
    </xf>
    <xf numFmtId="0" fontId="38" fillId="16" borderId="17" xfId="0" applyFont="1" applyFill="1" applyBorder="1" applyAlignment="1">
      <alignment vertical="top" wrapText="1"/>
    </xf>
    <xf numFmtId="0" fontId="38" fillId="16" borderId="17" xfId="2" applyFont="1" applyFill="1" applyBorder="1" applyAlignment="1">
      <alignment vertical="top" wrapText="1"/>
    </xf>
    <xf numFmtId="0" fontId="67" fillId="16" borderId="17" xfId="0" applyFont="1" applyFill="1" applyBorder="1" applyAlignment="1">
      <alignment horizontal="left" vertical="top" wrapText="1"/>
    </xf>
    <xf numFmtId="0" fontId="67" fillId="16" borderId="17" xfId="0" applyFont="1" applyFill="1" applyBorder="1" applyAlignment="1">
      <alignment vertical="top" wrapText="1"/>
    </xf>
    <xf numFmtId="0" fontId="67" fillId="16" borderId="17" xfId="2" applyFont="1" applyFill="1" applyBorder="1" applyAlignment="1">
      <alignment vertical="top" wrapText="1"/>
    </xf>
    <xf numFmtId="0" fontId="67" fillId="16" borderId="17" xfId="0" applyFont="1" applyFill="1" applyBorder="1" applyAlignment="1">
      <alignment wrapText="1"/>
    </xf>
    <xf numFmtId="0" fontId="38" fillId="16" borderId="17" xfId="0" applyFont="1" applyFill="1" applyBorder="1" applyAlignment="1">
      <alignment wrapText="1"/>
    </xf>
    <xf numFmtId="0" fontId="67" fillId="16" borderId="17" xfId="0" applyFont="1" applyFill="1" applyBorder="1"/>
    <xf numFmtId="0" fontId="38" fillId="16" borderId="17" xfId="0" applyFont="1" applyFill="1" applyBorder="1"/>
    <xf numFmtId="0" fontId="38" fillId="16" borderId="0" xfId="0" applyFont="1" applyFill="1" applyBorder="1" applyAlignment="1">
      <alignment vertical="top" wrapText="1"/>
    </xf>
    <xf numFmtId="0" fontId="67" fillId="16" borderId="0" xfId="0" applyFont="1" applyFill="1" applyBorder="1" applyAlignment="1">
      <alignment vertical="top" wrapText="1"/>
    </xf>
    <xf numFmtId="0" fontId="38" fillId="16" borderId="0" xfId="0" applyFont="1" applyFill="1" applyBorder="1" applyAlignment="1">
      <alignment wrapText="1"/>
    </xf>
    <xf numFmtId="0" fontId="67" fillId="16" borderId="0" xfId="0" applyFont="1" applyFill="1" applyBorder="1" applyAlignment="1">
      <alignment wrapText="1"/>
    </xf>
    <xf numFmtId="0" fontId="67" fillId="16" borderId="0" xfId="0" applyFont="1" applyFill="1" applyBorder="1" applyAlignment="1">
      <alignment horizontal="left" vertical="top" wrapText="1"/>
    </xf>
    <xf numFmtId="0" fontId="67" fillId="16" borderId="0" xfId="2" applyFont="1" applyFill="1" applyBorder="1" applyAlignment="1">
      <alignment vertical="top" wrapText="1"/>
    </xf>
    <xf numFmtId="0" fontId="42" fillId="16" borderId="17" xfId="0" applyFont="1" applyFill="1" applyBorder="1" applyProtection="1"/>
    <xf numFmtId="0" fontId="0" fillId="2" borderId="0" xfId="0" applyFill="1" applyProtection="1"/>
    <xf numFmtId="0" fontId="42" fillId="2" borderId="0" xfId="0" applyFont="1" applyFill="1" applyAlignment="1" applyProtection="1">
      <alignment horizontal="center" vertical="center"/>
    </xf>
    <xf numFmtId="0" fontId="42" fillId="2" borderId="0" xfId="0" applyFont="1" applyFill="1" applyAlignment="1" applyProtection="1">
      <alignment horizontal="center"/>
    </xf>
    <xf numFmtId="0" fontId="146" fillId="16" borderId="17" xfId="0" applyFont="1" applyFill="1" applyBorder="1" applyAlignment="1" applyProtection="1">
      <alignment vertical="center"/>
    </xf>
    <xf numFmtId="0" fontId="145" fillId="16" borderId="17" xfId="0" applyFont="1" applyFill="1" applyBorder="1" applyAlignment="1" applyProtection="1">
      <alignment horizontal="left" vertical="top" wrapText="1"/>
    </xf>
    <xf numFmtId="0" fontId="42" fillId="16" borderId="17" xfId="0" applyFont="1" applyFill="1" applyBorder="1" applyAlignment="1" applyProtection="1">
      <alignment horizontal="center" vertical="center" wrapText="1"/>
    </xf>
    <xf numFmtId="0" fontId="0" fillId="16" borderId="17" xfId="0" applyFill="1" applyBorder="1" applyAlignment="1" applyProtection="1">
      <alignment vertical="top" wrapText="1"/>
      <protection locked="0"/>
    </xf>
    <xf numFmtId="0" fontId="52" fillId="0" borderId="17" xfId="0" applyFont="1" applyFill="1" applyBorder="1" applyAlignment="1" applyProtection="1">
      <alignment horizontal="center" vertical="center" wrapText="1"/>
    </xf>
    <xf numFmtId="0" fontId="65" fillId="0" borderId="71" xfId="0" applyFont="1" applyFill="1" applyBorder="1" applyAlignment="1" applyProtection="1">
      <alignment horizontal="left" vertical="center" wrapText="1"/>
    </xf>
    <xf numFmtId="0" fontId="65" fillId="0" borderId="69" xfId="0" applyFont="1" applyFill="1" applyBorder="1" applyAlignment="1" applyProtection="1">
      <alignment vertical="center" wrapText="1"/>
    </xf>
    <xf numFmtId="0" fontId="65" fillId="0" borderId="70" xfId="0" applyFont="1" applyFill="1" applyBorder="1" applyAlignment="1" applyProtection="1">
      <alignment vertical="center" wrapText="1"/>
    </xf>
    <xf numFmtId="0" fontId="65" fillId="0" borderId="72" xfId="0" applyFont="1" applyFill="1" applyBorder="1" applyAlignment="1" applyProtection="1">
      <alignment horizontal="left" vertical="center" wrapText="1"/>
    </xf>
    <xf numFmtId="0" fontId="65" fillId="0" borderId="25" xfId="0" applyFont="1" applyFill="1" applyBorder="1" applyAlignment="1" applyProtection="1">
      <alignment vertical="center" wrapText="1"/>
    </xf>
    <xf numFmtId="0" fontId="65" fillId="0" borderId="64" xfId="0" applyFont="1" applyFill="1" applyBorder="1" applyAlignment="1" applyProtection="1">
      <alignment vertical="center" wrapText="1"/>
    </xf>
    <xf numFmtId="0" fontId="65" fillId="0" borderId="74" xfId="0" applyFont="1" applyFill="1" applyBorder="1" applyAlignment="1" applyProtection="1">
      <alignment horizontal="left" vertical="center" wrapText="1"/>
    </xf>
    <xf numFmtId="0" fontId="65" fillId="0" borderId="21" xfId="0" applyFont="1" applyFill="1" applyBorder="1" applyAlignment="1" applyProtection="1">
      <alignment vertical="center" wrapText="1"/>
    </xf>
    <xf numFmtId="0" fontId="65" fillId="0" borderId="65" xfId="0" applyFont="1" applyFill="1" applyBorder="1" applyAlignment="1" applyProtection="1">
      <alignment vertical="center" wrapText="1"/>
    </xf>
    <xf numFmtId="0" fontId="65" fillId="0" borderId="21" xfId="0" applyFont="1" applyBorder="1" applyAlignment="1" applyProtection="1">
      <alignment vertical="center" wrapText="1"/>
    </xf>
    <xf numFmtId="0" fontId="65" fillId="0" borderId="65" xfId="0" applyFont="1" applyBorder="1" applyAlignment="1" applyProtection="1">
      <alignment vertical="center" wrapText="1"/>
    </xf>
    <xf numFmtId="0" fontId="65" fillId="0" borderId="73" xfId="0" applyFont="1" applyFill="1" applyBorder="1" applyAlignment="1" applyProtection="1">
      <alignment horizontal="left" vertical="center" wrapText="1"/>
    </xf>
    <xf numFmtId="0" fontId="65" fillId="0" borderId="62" xfId="0" applyFont="1" applyBorder="1" applyAlignment="1" applyProtection="1">
      <alignment vertical="center" wrapText="1"/>
    </xf>
    <xf numFmtId="0" fontId="65" fillId="0" borderId="67" xfId="0" applyFont="1" applyBorder="1" applyAlignment="1" applyProtection="1">
      <alignment vertical="center" wrapText="1"/>
    </xf>
    <xf numFmtId="0" fontId="65" fillId="0" borderId="69" xfId="0" applyFont="1" applyBorder="1" applyAlignment="1" applyProtection="1">
      <alignment vertical="center" wrapText="1"/>
    </xf>
    <xf numFmtId="0" fontId="65" fillId="0" borderId="70" xfId="0" applyFont="1" applyBorder="1" applyAlignment="1" applyProtection="1">
      <alignment vertical="center" wrapText="1"/>
    </xf>
    <xf numFmtId="0" fontId="65" fillId="0" borderId="25" xfId="0" applyFont="1" applyBorder="1" applyAlignment="1" applyProtection="1">
      <alignment vertical="center" wrapText="1"/>
    </xf>
    <xf numFmtId="0" fontId="65" fillId="0" borderId="64" xfId="0" applyFont="1" applyBorder="1" applyAlignment="1" applyProtection="1">
      <alignment vertical="center" wrapText="1"/>
    </xf>
    <xf numFmtId="0" fontId="50" fillId="0" borderId="5" xfId="0" applyFont="1" applyFill="1" applyBorder="1" applyAlignment="1" applyProtection="1">
      <alignment horizontal="left" vertical="center" wrapText="1"/>
      <protection locked="0"/>
    </xf>
    <xf numFmtId="0" fontId="50" fillId="0" borderId="5" xfId="0" applyFont="1" applyFill="1" applyBorder="1" applyAlignment="1" applyProtection="1">
      <alignment horizontal="center" vertical="center"/>
      <protection locked="0"/>
    </xf>
    <xf numFmtId="0" fontId="15" fillId="0" borderId="33" xfId="0" applyFont="1" applyFill="1" applyBorder="1" applyAlignment="1" applyProtection="1">
      <protection locked="0"/>
    </xf>
    <xf numFmtId="0" fontId="15" fillId="0" borderId="26" xfId="0" applyFont="1" applyFill="1" applyBorder="1" applyAlignment="1" applyProtection="1">
      <protection locked="0"/>
    </xf>
    <xf numFmtId="0" fontId="50" fillId="0" borderId="15" xfId="0" applyFont="1" applyFill="1" applyBorder="1" applyAlignment="1" applyProtection="1">
      <alignment horizontal="left" vertical="center" wrapText="1"/>
      <protection locked="0"/>
    </xf>
    <xf numFmtId="0" fontId="50" fillId="0" borderId="15" xfId="0" applyFont="1" applyFill="1" applyBorder="1" applyAlignment="1" applyProtection="1">
      <alignment horizontal="left" vertical="center"/>
      <protection locked="0"/>
    </xf>
    <xf numFmtId="0" fontId="50" fillId="0" borderId="19" xfId="0" applyFont="1" applyFill="1" applyBorder="1" applyAlignment="1" applyProtection="1">
      <alignment horizontal="left" vertical="center"/>
      <protection locked="0"/>
    </xf>
    <xf numFmtId="0" fontId="65" fillId="0" borderId="69" xfId="0" applyFont="1" applyFill="1" applyBorder="1" applyAlignment="1" applyProtection="1">
      <alignment horizontal="left" vertical="center" wrapText="1"/>
    </xf>
    <xf numFmtId="0" fontId="65" fillId="0" borderId="70" xfId="0" applyFont="1" applyFill="1" applyBorder="1" applyAlignment="1" applyProtection="1">
      <alignment horizontal="left" vertical="center" wrapText="1"/>
    </xf>
    <xf numFmtId="0" fontId="65" fillId="0" borderId="94" xfId="0" applyFont="1" applyFill="1" applyBorder="1" applyAlignment="1" applyProtection="1">
      <alignment horizontal="left" vertical="center" wrapText="1"/>
    </xf>
    <xf numFmtId="0" fontId="65" fillId="0" borderId="22" xfId="0" applyFont="1" applyFill="1" applyBorder="1" applyAlignment="1" applyProtection="1">
      <alignment horizontal="left" vertical="center" wrapText="1"/>
    </xf>
    <xf numFmtId="0" fontId="65" fillId="0" borderId="86" xfId="0" applyFont="1" applyFill="1" applyBorder="1" applyAlignment="1" applyProtection="1">
      <alignment horizontal="left" vertical="center" wrapText="1"/>
    </xf>
    <xf numFmtId="0" fontId="65" fillId="0" borderId="21" xfId="0" applyFont="1" applyFill="1" applyBorder="1" applyAlignment="1" applyProtection="1">
      <alignment horizontal="left" vertical="center" wrapText="1"/>
    </xf>
    <xf numFmtId="0" fontId="65" fillId="0" borderId="65" xfId="0" applyFont="1" applyFill="1" applyBorder="1" applyAlignment="1" applyProtection="1">
      <alignment horizontal="left" vertical="center" wrapText="1"/>
    </xf>
    <xf numFmtId="0" fontId="65" fillId="0" borderId="21" xfId="0" applyFont="1" applyBorder="1" applyAlignment="1" applyProtection="1">
      <alignment horizontal="left" vertical="center" wrapText="1"/>
    </xf>
    <xf numFmtId="0" fontId="65" fillId="0" borderId="65" xfId="0" applyFont="1" applyBorder="1" applyAlignment="1" applyProtection="1">
      <alignment horizontal="left" vertical="center" wrapText="1"/>
    </xf>
    <xf numFmtId="0" fontId="65" fillId="0" borderId="98" xfId="0" applyFont="1" applyFill="1" applyBorder="1" applyAlignment="1" applyProtection="1">
      <alignment horizontal="left" vertical="center" wrapText="1"/>
    </xf>
    <xf numFmtId="0" fontId="65" fillId="0" borderId="24" xfId="0" applyFont="1" applyBorder="1" applyAlignment="1" applyProtection="1">
      <alignment horizontal="left" vertical="center" wrapText="1"/>
    </xf>
    <xf numFmtId="0" fontId="65" fillId="0" borderId="88" xfId="0" applyFont="1" applyBorder="1" applyAlignment="1" applyProtection="1">
      <alignment horizontal="left" vertical="center" wrapText="1"/>
    </xf>
    <xf numFmtId="0" fontId="65" fillId="0" borderId="25" xfId="0" applyFont="1" applyBorder="1" applyAlignment="1" applyProtection="1">
      <alignment horizontal="left" vertical="center" wrapText="1"/>
    </xf>
    <xf numFmtId="0" fontId="65" fillId="0" borderId="64" xfId="0" applyFont="1" applyBorder="1" applyAlignment="1" applyProtection="1">
      <alignment horizontal="left" vertical="center" wrapText="1"/>
    </xf>
    <xf numFmtId="0" fontId="65" fillId="0" borderId="62" xfId="0" applyFont="1" applyBorder="1" applyAlignment="1" applyProtection="1">
      <alignment horizontal="left" vertical="center" wrapText="1"/>
    </xf>
    <xf numFmtId="0" fontId="65" fillId="0" borderId="67" xfId="0" applyFont="1" applyBorder="1" applyAlignment="1" applyProtection="1">
      <alignment horizontal="left" vertical="center" wrapText="1"/>
    </xf>
    <xf numFmtId="0" fontId="65" fillId="0" borderId="69" xfId="0" applyFont="1" applyBorder="1" applyAlignment="1" applyProtection="1">
      <alignment horizontal="left" vertical="center" wrapText="1"/>
    </xf>
    <xf numFmtId="0" fontId="65" fillId="0" borderId="70" xfId="0" applyFont="1" applyBorder="1" applyAlignment="1" applyProtection="1">
      <alignment horizontal="left" vertical="center" wrapText="1"/>
    </xf>
    <xf numFmtId="0" fontId="65" fillId="0" borderId="15" xfId="0" applyFont="1" applyBorder="1" applyAlignment="1" applyProtection="1">
      <alignment horizontal="left" vertical="center" wrapText="1"/>
    </xf>
    <xf numFmtId="0" fontId="65" fillId="0" borderId="19" xfId="0" applyFont="1" applyBorder="1" applyAlignment="1" applyProtection="1">
      <alignment horizontal="left" vertical="center" wrapText="1"/>
    </xf>
    <xf numFmtId="0" fontId="15" fillId="0" borderId="26" xfId="0" applyFont="1" applyFill="1" applyBorder="1" applyAlignment="1" applyProtection="1">
      <alignment horizontal="left"/>
      <protection locked="0"/>
    </xf>
    <xf numFmtId="0" fontId="59" fillId="0" borderId="15" xfId="0" applyFont="1" applyFill="1" applyBorder="1" applyAlignment="1" applyProtection="1">
      <alignment horizontal="center" vertical="center" wrapText="1"/>
      <protection locked="0"/>
    </xf>
    <xf numFmtId="0" fontId="65" fillId="0" borderId="25" xfId="0" applyFont="1" applyFill="1" applyBorder="1" applyAlignment="1" applyProtection="1">
      <alignment horizontal="left" vertical="center" wrapText="1"/>
    </xf>
    <xf numFmtId="0" fontId="65" fillId="0" borderId="64" xfId="0" applyFont="1" applyFill="1" applyBorder="1" applyAlignment="1" applyProtection="1">
      <alignment horizontal="left" vertical="center" wrapText="1"/>
    </xf>
    <xf numFmtId="0" fontId="65" fillId="0" borderId="62" xfId="0" applyFont="1" applyFill="1" applyBorder="1" applyAlignment="1" applyProtection="1">
      <alignment horizontal="left" vertical="center" wrapText="1"/>
    </xf>
    <xf numFmtId="0" fontId="65" fillId="0" borderId="67" xfId="0" applyFont="1" applyFill="1" applyBorder="1" applyAlignment="1" applyProtection="1">
      <alignment horizontal="left" vertical="center" wrapText="1"/>
    </xf>
    <xf numFmtId="0" fontId="52" fillId="0" borderId="25" xfId="0" applyFont="1" applyFill="1" applyBorder="1" applyAlignment="1" applyProtection="1">
      <alignment horizontal="left" vertical="center" wrapText="1"/>
    </xf>
    <xf numFmtId="0" fontId="65" fillId="0" borderId="93" xfId="0" applyFont="1" applyFill="1" applyBorder="1" applyAlignment="1" applyProtection="1">
      <alignment horizontal="left" vertical="center" wrapText="1"/>
    </xf>
    <xf numFmtId="0" fontId="65" fillId="0" borderId="83" xfId="0" applyFont="1" applyFill="1" applyBorder="1" applyAlignment="1" applyProtection="1">
      <alignment horizontal="left" vertical="center" wrapText="1"/>
    </xf>
    <xf numFmtId="0" fontId="65" fillId="0" borderId="84" xfId="0" applyFont="1" applyFill="1" applyBorder="1" applyAlignment="1" applyProtection="1">
      <alignment horizontal="left" vertical="center" wrapText="1"/>
    </xf>
    <xf numFmtId="0" fontId="46" fillId="0" borderId="15" xfId="0" applyFont="1" applyFill="1" applyBorder="1" applyAlignment="1" applyProtection="1">
      <alignment horizontal="left" vertical="center" wrapText="1"/>
      <protection locked="0"/>
    </xf>
    <xf numFmtId="0" fontId="46" fillId="0" borderId="15" xfId="0" applyFont="1" applyFill="1" applyBorder="1" applyAlignment="1" applyProtection="1">
      <alignment horizontal="left" vertical="center"/>
      <protection locked="0"/>
    </xf>
    <xf numFmtId="0" fontId="46" fillId="0" borderId="19" xfId="0" applyFont="1" applyFill="1" applyBorder="1" applyAlignment="1" applyProtection="1">
      <alignment horizontal="left" vertical="center"/>
      <protection locked="0"/>
    </xf>
    <xf numFmtId="0" fontId="50" fillId="0" borderId="75" xfId="0" applyFont="1" applyFill="1" applyBorder="1" applyAlignment="1" applyProtection="1">
      <alignment horizontal="left" vertical="center" wrapText="1"/>
      <protection locked="0"/>
    </xf>
    <xf numFmtId="0" fontId="50" fillId="0" borderId="76" xfId="0" applyFont="1" applyFill="1" applyBorder="1" applyAlignment="1" applyProtection="1">
      <alignment horizontal="left" vertical="center"/>
      <protection locked="0"/>
    </xf>
    <xf numFmtId="0" fontId="50" fillId="0" borderId="69" xfId="0" applyFont="1" applyFill="1" applyBorder="1" applyAlignment="1" applyProtection="1">
      <alignment horizontal="left" vertical="center"/>
      <protection locked="0"/>
    </xf>
    <xf numFmtId="0" fontId="50" fillId="0" borderId="70" xfId="0" applyFont="1" applyFill="1" applyBorder="1" applyAlignment="1" applyProtection="1">
      <alignment horizontal="left" vertical="center"/>
      <protection locked="0"/>
    </xf>
    <xf numFmtId="0" fontId="65" fillId="0" borderId="95" xfId="0" applyFont="1" applyFill="1" applyBorder="1" applyAlignment="1" applyProtection="1">
      <alignment horizontal="left" vertical="center" wrapText="1"/>
    </xf>
    <xf numFmtId="0" fontId="65" fillId="0" borderId="22" xfId="0" applyFont="1" applyBorder="1" applyAlignment="1" applyProtection="1">
      <alignment horizontal="left" vertical="center" wrapText="1"/>
    </xf>
    <xf numFmtId="0" fontId="65" fillId="0" borderId="86" xfId="0" applyFont="1" applyBorder="1" applyAlignment="1" applyProtection="1">
      <alignment horizontal="left" vertical="center" wrapText="1"/>
    </xf>
    <xf numFmtId="0" fontId="65" fillId="0" borderId="90" xfId="0" applyFont="1" applyFill="1" applyBorder="1" applyAlignment="1" applyProtection="1">
      <alignment horizontal="left" vertical="center" wrapText="1"/>
    </xf>
    <xf numFmtId="0" fontId="65" fillId="0" borderId="78" xfId="0" applyFont="1" applyBorder="1" applyAlignment="1" applyProtection="1">
      <alignment horizontal="left" vertical="center" wrapText="1"/>
    </xf>
    <xf numFmtId="0" fontId="65" fillId="0" borderId="91" xfId="0" applyFont="1" applyFill="1" applyBorder="1" applyAlignment="1" applyProtection="1">
      <alignment horizontal="left" vertical="center" wrapText="1"/>
    </xf>
    <xf numFmtId="0" fontId="65" fillId="0" borderId="80" xfId="0" applyFont="1" applyBorder="1" applyAlignment="1" applyProtection="1">
      <alignment horizontal="left" vertical="center" wrapText="1"/>
    </xf>
    <xf numFmtId="0" fontId="65" fillId="0" borderId="92" xfId="0" applyFont="1" applyFill="1" applyBorder="1" applyAlignment="1" applyProtection="1">
      <alignment horizontal="left" vertical="center" wrapText="1"/>
    </xf>
    <xf numFmtId="0" fontId="65" fillId="0" borderId="82" xfId="0" applyFont="1" applyBorder="1" applyAlignment="1" applyProtection="1">
      <alignment horizontal="left" vertical="center" wrapText="1"/>
    </xf>
    <xf numFmtId="0" fontId="65" fillId="0" borderId="45" xfId="0" applyFont="1" applyFill="1" applyBorder="1" applyAlignment="1" applyProtection="1">
      <alignment horizontal="center" vertical="center" wrapText="1"/>
    </xf>
    <xf numFmtId="0" fontId="65" fillId="0" borderId="11" xfId="0" applyFont="1" applyFill="1" applyBorder="1" applyAlignment="1" applyProtection="1">
      <alignment horizontal="center" vertical="center" wrapText="1"/>
    </xf>
    <xf numFmtId="0" fontId="65" fillId="0" borderId="47" xfId="0" applyFont="1" applyFill="1" applyBorder="1" applyAlignment="1" applyProtection="1">
      <alignment horizontal="center" vertical="center" wrapText="1"/>
    </xf>
    <xf numFmtId="0" fontId="65" fillId="0" borderId="18" xfId="0" applyFont="1" applyFill="1" applyBorder="1" applyAlignment="1" applyProtection="1">
      <alignment horizontal="center" vertical="center" wrapText="1"/>
    </xf>
    <xf numFmtId="0" fontId="13" fillId="0" borderId="0" xfId="0" applyFont="1" applyBorder="1" applyAlignment="1" applyProtection="1">
      <alignment vertical="top" wrapText="1"/>
      <protection locked="0"/>
    </xf>
    <xf numFmtId="0" fontId="13" fillId="0" borderId="0" xfId="0" applyFont="1" applyBorder="1" applyAlignment="1" applyProtection="1">
      <alignment horizontal="left" vertical="top" wrapText="1"/>
      <protection locked="0"/>
    </xf>
    <xf numFmtId="0" fontId="13" fillId="26" borderId="120" xfId="0" applyFont="1" applyFill="1" applyBorder="1" applyAlignment="1" applyProtection="1">
      <alignment horizontal="center" vertical="top" wrapText="1"/>
      <protection locked="0"/>
    </xf>
    <xf numFmtId="0" fontId="128" fillId="26" borderId="8" xfId="0" applyFont="1" applyFill="1" applyBorder="1" applyAlignment="1" applyProtection="1">
      <alignment vertical="top" wrapText="1"/>
      <protection locked="0"/>
    </xf>
    <xf numFmtId="0" fontId="13" fillId="26" borderId="8" xfId="0" applyFont="1" applyFill="1" applyBorder="1" applyAlignment="1" applyProtection="1">
      <alignment vertical="top" wrapText="1"/>
      <protection locked="0"/>
    </xf>
    <xf numFmtId="0" fontId="128" fillId="2" borderId="8" xfId="0" applyFont="1" applyFill="1" applyBorder="1" applyAlignment="1" applyProtection="1">
      <alignment vertical="top" wrapText="1"/>
      <protection locked="0"/>
    </xf>
    <xf numFmtId="0" fontId="9" fillId="0" borderId="8" xfId="0" applyFont="1" applyFill="1" applyBorder="1" applyAlignment="1" applyProtection="1">
      <protection locked="0"/>
    </xf>
    <xf numFmtId="0" fontId="128" fillId="0" borderId="8" xfId="0" applyFont="1" applyFill="1" applyBorder="1" applyAlignment="1" applyProtection="1">
      <alignment vertical="top" wrapText="1"/>
      <protection locked="0"/>
    </xf>
    <xf numFmtId="0" fontId="21" fillId="16" borderId="8" xfId="0" applyFont="1" applyFill="1" applyBorder="1" applyAlignment="1" applyProtection="1">
      <alignment horizontal="left" vertical="center" wrapText="1"/>
      <protection locked="0"/>
    </xf>
    <xf numFmtId="0" fontId="128" fillId="16" borderId="8" xfId="0" applyFont="1" applyFill="1" applyBorder="1" applyAlignment="1" applyProtection="1">
      <alignment vertical="top" wrapText="1"/>
      <protection locked="0"/>
    </xf>
    <xf numFmtId="0" fontId="141" fillId="0" borderId="7" xfId="0" applyFont="1" applyBorder="1" applyAlignment="1" applyProtection="1">
      <alignment wrapText="1"/>
      <protection locked="0"/>
    </xf>
    <xf numFmtId="0" fontId="34" fillId="0" borderId="8" xfId="0" applyFont="1" applyBorder="1" applyAlignment="1" applyProtection="1">
      <alignment vertical="top" wrapText="1"/>
      <protection locked="0"/>
    </xf>
    <xf numFmtId="0" fontId="80" fillId="0" borderId="0" xfId="0" applyFont="1" applyFill="1" applyAlignment="1">
      <alignment wrapText="1"/>
    </xf>
    <xf numFmtId="0" fontId="42" fillId="0" borderId="0" xfId="0" applyFont="1" applyFill="1" applyAlignment="1">
      <alignment wrapText="1"/>
    </xf>
    <xf numFmtId="0" fontId="44" fillId="0" borderId="0" xfId="0" applyFont="1" applyFill="1" applyAlignment="1">
      <alignment wrapText="1"/>
    </xf>
    <xf numFmtId="0" fontId="0" fillId="0" borderId="0" xfId="0" applyFill="1" applyAlignment="1">
      <alignment wrapText="1"/>
    </xf>
    <xf numFmtId="0" fontId="0" fillId="0" borderId="0" xfId="0" applyFill="1" applyBorder="1" applyAlignment="1">
      <alignment wrapText="1"/>
    </xf>
    <xf numFmtId="0" fontId="0" fillId="0" borderId="0" xfId="0" applyFont="1" applyBorder="1" applyAlignment="1">
      <alignment wrapText="1"/>
    </xf>
    <xf numFmtId="0" fontId="0" fillId="0" borderId="0" xfId="0" applyBorder="1" applyAlignment="1">
      <alignment wrapText="1"/>
    </xf>
    <xf numFmtId="0" fontId="0" fillId="0" borderId="0" xfId="0" applyFont="1" applyFill="1" applyBorder="1" applyAlignment="1">
      <alignment wrapText="1"/>
    </xf>
    <xf numFmtId="0" fontId="0" fillId="0" borderId="118" xfId="0" applyFont="1" applyBorder="1" applyAlignment="1">
      <alignment wrapText="1"/>
    </xf>
    <xf numFmtId="0" fontId="44" fillId="0" borderId="0" xfId="0" applyFont="1" applyFill="1" applyBorder="1" applyAlignment="1">
      <alignment horizontal="left" vertical="top" wrapText="1"/>
    </xf>
    <xf numFmtId="49" fontId="51" fillId="26" borderId="0" xfId="0" applyNumberFormat="1" applyFont="1" applyFill="1" applyBorder="1" applyAlignment="1" applyProtection="1">
      <alignment vertical="top" wrapText="1"/>
    </xf>
    <xf numFmtId="0" fontId="13" fillId="26" borderId="0" xfId="0" applyFont="1" applyFill="1" applyAlignment="1" applyProtection="1">
      <alignment horizontal="center" vertical="top" wrapText="1"/>
      <protection locked="0"/>
    </xf>
    <xf numFmtId="0" fontId="13" fillId="26" borderId="121" xfId="0" applyFont="1" applyFill="1" applyBorder="1" applyAlignment="1" applyProtection="1">
      <alignment horizontal="center" vertical="top" wrapText="1"/>
      <protection locked="0"/>
    </xf>
    <xf numFmtId="0" fontId="13" fillId="26" borderId="4" xfId="0" applyFont="1" applyFill="1" applyBorder="1" applyAlignment="1" applyProtection="1">
      <alignment horizontal="center" vertical="top" wrapText="1"/>
      <protection locked="0"/>
    </xf>
    <xf numFmtId="49" fontId="5" fillId="2" borderId="0" xfId="0" applyNumberFormat="1" applyFont="1" applyFill="1" applyBorder="1" applyAlignment="1" applyProtection="1">
      <alignment vertical="top" wrapText="1"/>
    </xf>
    <xf numFmtId="0" fontId="13" fillId="2" borderId="0" xfId="0" applyFont="1" applyFill="1" applyAlignment="1" applyProtection="1">
      <alignment horizontal="center" vertical="top" wrapText="1"/>
      <protection locked="0"/>
    </xf>
    <xf numFmtId="0" fontId="13" fillId="2" borderId="4" xfId="0" applyFont="1" applyFill="1" applyBorder="1" applyAlignment="1" applyProtection="1">
      <alignment horizontal="center" vertical="top" wrapText="1"/>
      <protection locked="0"/>
    </xf>
    <xf numFmtId="0" fontId="13" fillId="2" borderId="0" xfId="0" applyFont="1" applyFill="1" applyBorder="1" applyAlignment="1" applyProtection="1">
      <alignment horizontal="center" vertical="top" wrapText="1"/>
      <protection locked="0"/>
    </xf>
    <xf numFmtId="0" fontId="13" fillId="2" borderId="53" xfId="0" applyFont="1" applyFill="1" applyBorder="1" applyAlignment="1" applyProtection="1">
      <alignment horizontal="center" vertical="top" wrapText="1"/>
      <protection locked="0"/>
    </xf>
    <xf numFmtId="0" fontId="13" fillId="26" borderId="0" xfId="0" applyFont="1" applyFill="1" applyAlignment="1" applyProtection="1">
      <alignment horizontal="center" vertical="top" wrapText="1"/>
    </xf>
    <xf numFmtId="49" fontId="5" fillId="2" borderId="0" xfId="0" applyNumberFormat="1" applyFont="1" applyFill="1" applyBorder="1" applyAlignment="1" applyProtection="1">
      <alignment horizontal="left" vertical="top" wrapText="1"/>
    </xf>
    <xf numFmtId="0" fontId="13" fillId="2" borderId="0" xfId="0" applyFont="1" applyFill="1" applyBorder="1" applyAlignment="1" applyProtection="1">
      <alignment horizontal="center" vertical="top" wrapText="1"/>
    </xf>
    <xf numFmtId="0" fontId="10" fillId="2" borderId="0" xfId="0" applyFont="1" applyFill="1" applyAlignment="1" applyProtection="1">
      <alignment wrapText="1"/>
    </xf>
    <xf numFmtId="0" fontId="13" fillId="2" borderId="0" xfId="0" applyFont="1" applyFill="1" applyAlignment="1" applyProtection="1">
      <alignment vertical="center" wrapText="1"/>
    </xf>
    <xf numFmtId="0" fontId="0" fillId="2" borderId="0" xfId="0" applyFont="1" applyFill="1" applyProtection="1"/>
    <xf numFmtId="0" fontId="0" fillId="2" borderId="0" xfId="0" applyFont="1" applyFill="1" applyAlignment="1" applyProtection="1">
      <alignment vertical="top"/>
    </xf>
    <xf numFmtId="0" fontId="13" fillId="0" borderId="0" xfId="0" applyNumberFormat="1" applyFont="1" applyFill="1" applyAlignment="1" applyProtection="1">
      <alignment horizontal="center" vertical="top" wrapText="1"/>
    </xf>
    <xf numFmtId="0" fontId="18" fillId="0" borderId="123" xfId="0" applyFont="1" applyFill="1" applyBorder="1" applyAlignment="1" applyProtection="1">
      <alignment horizontal="center" vertical="top" wrapText="1"/>
    </xf>
    <xf numFmtId="0" fontId="13" fillId="0" borderId="123" xfId="0" applyFont="1" applyFill="1" applyBorder="1" applyAlignment="1" applyProtection="1">
      <alignment horizontal="center" vertical="top" wrapText="1"/>
    </xf>
    <xf numFmtId="0" fontId="13" fillId="27" borderId="0" xfId="0" applyFont="1" applyFill="1" applyBorder="1" applyAlignment="1" applyProtection="1">
      <alignment horizontal="center" vertical="top" wrapText="1"/>
    </xf>
    <xf numFmtId="0" fontId="13" fillId="26" borderId="0" xfId="0" applyFont="1" applyFill="1" applyBorder="1" applyAlignment="1" applyProtection="1">
      <alignment horizontal="center" vertical="top" wrapText="1"/>
    </xf>
    <xf numFmtId="0" fontId="18" fillId="0" borderId="41" xfId="0" applyFont="1" applyFill="1" applyBorder="1" applyAlignment="1" applyProtection="1">
      <alignment horizontal="center" vertical="top" wrapText="1"/>
    </xf>
    <xf numFmtId="0" fontId="18" fillId="0" borderId="122" xfId="0" applyFont="1" applyFill="1" applyBorder="1" applyAlignment="1" applyProtection="1">
      <alignment horizontal="center" vertical="top" wrapText="1"/>
    </xf>
    <xf numFmtId="0" fontId="128" fillId="2" borderId="0" xfId="0" applyFont="1" applyFill="1" applyBorder="1" applyAlignment="1" applyProtection="1">
      <alignment horizontal="center" vertical="top" wrapText="1"/>
    </xf>
    <xf numFmtId="0" fontId="13" fillId="27" borderId="124" xfId="0" applyFont="1" applyFill="1" applyBorder="1" applyAlignment="1" applyProtection="1">
      <alignment horizontal="center" vertical="top" wrapText="1"/>
    </xf>
    <xf numFmtId="0" fontId="13" fillId="27" borderId="0" xfId="0" applyNumberFormat="1" applyFont="1" applyFill="1" applyBorder="1" applyAlignment="1" applyProtection="1">
      <alignment horizontal="center" vertical="top" wrapText="1"/>
    </xf>
    <xf numFmtId="0" fontId="13" fillId="27" borderId="42" xfId="0" applyFont="1" applyFill="1" applyBorder="1" applyAlignment="1" applyProtection="1">
      <alignment horizontal="center" vertical="top" wrapText="1"/>
    </xf>
    <xf numFmtId="0" fontId="128" fillId="27" borderId="42" xfId="0" applyFont="1" applyFill="1" applyBorder="1" applyAlignment="1" applyProtection="1">
      <alignment horizontal="center" vertical="top" wrapText="1"/>
    </xf>
    <xf numFmtId="0" fontId="128" fillId="27" borderId="43" xfId="0" applyFont="1" applyFill="1" applyBorder="1" applyAlignment="1" applyProtection="1">
      <alignment horizontal="center" vertical="top" wrapText="1"/>
    </xf>
    <xf numFmtId="0" fontId="11" fillId="9" borderId="0" xfId="0" applyFont="1" applyFill="1" applyAlignment="1">
      <alignment horizontal="center"/>
    </xf>
    <xf numFmtId="0" fontId="11" fillId="8" borderId="0" xfId="0" applyFont="1" applyFill="1" applyAlignment="1">
      <alignment horizontal="center"/>
    </xf>
    <xf numFmtId="0" fontId="13" fillId="8" borderId="0" xfId="0" applyFont="1" applyFill="1" applyAlignment="1">
      <alignment horizontal="center" wrapText="1"/>
    </xf>
    <xf numFmtId="0" fontId="13" fillId="8" borderId="0" xfId="0" applyFont="1" applyFill="1" applyAlignment="1">
      <alignment horizontal="center" vertical="top" wrapText="1"/>
    </xf>
    <xf numFmtId="0" fontId="95" fillId="5" borderId="28" xfId="0" applyFont="1" applyFill="1" applyBorder="1" applyAlignment="1">
      <alignment horizontal="left" vertical="center" textRotation="90"/>
    </xf>
    <xf numFmtId="0" fontId="95" fillId="5" borderId="28" xfId="0" applyFont="1" applyFill="1" applyBorder="1" applyAlignment="1">
      <alignment horizontal="center" vertical="center" textRotation="90"/>
    </xf>
    <xf numFmtId="0" fontId="11" fillId="0" borderId="125" xfId="0" applyFont="1" applyFill="1" applyBorder="1"/>
    <xf numFmtId="0" fontId="13" fillId="0" borderId="125" xfId="0" applyFont="1" applyFill="1" applyBorder="1" applyAlignment="1">
      <alignment wrapText="1"/>
    </xf>
    <xf numFmtId="0" fontId="13" fillId="0" borderId="125" xfId="0" applyFont="1" applyFill="1" applyBorder="1" applyAlignment="1">
      <alignment horizontal="center" vertical="center" wrapText="1"/>
    </xf>
    <xf numFmtId="0" fontId="13" fillId="0" borderId="125" xfId="0" applyFont="1" applyFill="1" applyBorder="1" applyAlignment="1">
      <alignment horizontal="center" wrapText="1"/>
    </xf>
    <xf numFmtId="0" fontId="11" fillId="0" borderId="126" xfId="0" applyFont="1" applyFill="1" applyBorder="1"/>
    <xf numFmtId="0" fontId="13" fillId="0" borderId="126" xfId="0" applyFont="1" applyFill="1" applyBorder="1" applyAlignment="1">
      <alignment vertical="top" wrapText="1"/>
    </xf>
    <xf numFmtId="0" fontId="13" fillId="0" borderId="126" xfId="0" applyFont="1" applyFill="1" applyBorder="1" applyAlignment="1">
      <alignment horizontal="center" vertical="center" wrapText="1"/>
    </xf>
    <xf numFmtId="0" fontId="13" fillId="0" borderId="126" xfId="0" applyFont="1" applyFill="1" applyBorder="1" applyAlignment="1">
      <alignment horizontal="center" vertical="top" wrapText="1"/>
    </xf>
    <xf numFmtId="0" fontId="13" fillId="0" borderId="126" xfId="0" applyFont="1" applyFill="1" applyBorder="1" applyAlignment="1">
      <alignment wrapText="1"/>
    </xf>
    <xf numFmtId="0" fontId="11" fillId="0" borderId="126" xfId="0" applyFont="1" applyFill="1" applyBorder="1" applyAlignment="1">
      <alignment horizontal="center"/>
    </xf>
    <xf numFmtId="0" fontId="11" fillId="0" borderId="126" xfId="0" applyFont="1" applyBorder="1"/>
    <xf numFmtId="0" fontId="11" fillId="0" borderId="127" xfId="0" applyFont="1" applyFill="1" applyBorder="1"/>
    <xf numFmtId="0" fontId="11" fillId="0" borderId="127" xfId="0" applyFont="1" applyBorder="1"/>
    <xf numFmtId="0" fontId="13" fillId="0" borderId="127" xfId="0" applyFont="1" applyFill="1" applyBorder="1" applyAlignment="1">
      <alignment horizontal="center" vertical="center" wrapText="1"/>
    </xf>
    <xf numFmtId="0" fontId="11" fillId="0" borderId="127" xfId="0" applyFont="1" applyFill="1" applyBorder="1" applyAlignment="1">
      <alignment horizontal="center"/>
    </xf>
    <xf numFmtId="0" fontId="13" fillId="0" borderId="127" xfId="0" applyFont="1" applyFill="1" applyBorder="1" applyAlignment="1">
      <alignment wrapText="1"/>
    </xf>
    <xf numFmtId="49" fontId="148" fillId="0" borderId="0" xfId="0" applyNumberFormat="1" applyFont="1" applyFill="1" applyBorder="1" applyAlignment="1" applyProtection="1"/>
    <xf numFmtId="0" fontId="148" fillId="0" borderId="0" xfId="0" applyNumberFormat="1" applyFont="1" applyFill="1" applyBorder="1" applyAlignment="1" applyProtection="1">
      <alignment horizontal="center"/>
    </xf>
    <xf numFmtId="0" fontId="14" fillId="6" borderId="0" xfId="0" applyFont="1" applyFill="1" applyBorder="1" applyAlignment="1" applyProtection="1">
      <alignment horizontal="left" vertical="center"/>
    </xf>
    <xf numFmtId="0" fontId="14" fillId="6" borderId="0" xfId="0" applyFont="1" applyFill="1" applyBorder="1" applyAlignment="1" applyProtection="1">
      <alignment horizontal="center" vertical="center"/>
    </xf>
    <xf numFmtId="0" fontId="113" fillId="6" borderId="0" xfId="0" applyFont="1" applyFill="1" applyBorder="1" applyAlignment="1" applyProtection="1">
      <alignment horizontal="left" vertical="center"/>
    </xf>
    <xf numFmtId="0" fontId="56" fillId="0" borderId="0" xfId="3" applyFill="1" applyAlignment="1" applyProtection="1">
      <alignment horizontal="left" vertical="center" wrapText="1"/>
    </xf>
    <xf numFmtId="0" fontId="78" fillId="0" borderId="0" xfId="0" applyFont="1" applyFill="1" applyBorder="1" applyAlignment="1" applyProtection="1">
      <alignment horizontal="center" vertical="center" wrapText="1"/>
    </xf>
    <xf numFmtId="49" fontId="135" fillId="0" borderId="0" xfId="0" applyNumberFormat="1" applyFont="1" applyAlignment="1">
      <alignment horizontal="center" vertical="center"/>
    </xf>
    <xf numFmtId="0" fontId="79" fillId="0" borderId="0" xfId="0" applyFont="1" applyFill="1" applyBorder="1" applyAlignment="1" applyProtection="1">
      <alignment horizontal="center" vertical="center" wrapText="1"/>
    </xf>
    <xf numFmtId="0" fontId="50" fillId="16" borderId="128" xfId="0" applyFont="1" applyFill="1" applyBorder="1" applyAlignment="1" applyProtection="1">
      <alignment horizontal="left" vertical="center"/>
    </xf>
    <xf numFmtId="0" fontId="67" fillId="4" borderId="17" xfId="0" applyFont="1" applyFill="1" applyBorder="1" applyAlignment="1">
      <alignment horizontal="left" vertical="top" wrapText="1"/>
    </xf>
    <xf numFmtId="0" fontId="67" fillId="4" borderId="17" xfId="0" applyFont="1" applyFill="1" applyBorder="1" applyAlignment="1">
      <alignment vertical="top" wrapText="1"/>
    </xf>
    <xf numFmtId="0" fontId="67" fillId="4" borderId="17" xfId="2" applyFont="1" applyFill="1" applyBorder="1" applyAlignment="1">
      <alignment vertical="top" wrapText="1"/>
    </xf>
    <xf numFmtId="0" fontId="67" fillId="4" borderId="17" xfId="0" applyFont="1" applyFill="1" applyBorder="1" applyAlignment="1">
      <alignment wrapText="1"/>
    </xf>
    <xf numFmtId="164" fontId="112" fillId="26" borderId="0" xfId="0" applyNumberFormat="1" applyFont="1" applyFill="1" applyBorder="1" applyAlignment="1" applyProtection="1">
      <alignment horizontal="center"/>
    </xf>
    <xf numFmtId="164" fontId="112" fillId="26" borderId="0" xfId="0" applyNumberFormat="1" applyFont="1" applyFill="1" applyBorder="1" applyAlignment="1" applyProtection="1">
      <alignment horizontal="left"/>
    </xf>
    <xf numFmtId="0" fontId="151" fillId="0" borderId="0" xfId="0" applyFont="1" applyFill="1" applyAlignment="1" applyProtection="1">
      <alignment vertical="top" wrapText="1"/>
    </xf>
    <xf numFmtId="0" fontId="152" fillId="0" borderId="17" xfId="0" applyFont="1" applyFill="1" applyBorder="1" applyAlignment="1" applyProtection="1">
      <alignment horizontal="center" vertical="center"/>
      <protection locked="0"/>
    </xf>
    <xf numFmtId="0" fontId="38" fillId="25" borderId="40" xfId="0" applyFont="1" applyFill="1" applyBorder="1" applyAlignment="1" applyProtection="1">
      <alignment horizontal="center" vertical="center"/>
      <protection locked="0"/>
    </xf>
    <xf numFmtId="0" fontId="50" fillId="16" borderId="1" xfId="0" applyFont="1" applyFill="1" applyBorder="1" applyAlignment="1" applyProtection="1">
      <alignment horizontal="left" vertical="top" wrapText="1"/>
    </xf>
    <xf numFmtId="0" fontId="50" fillId="16" borderId="2" xfId="0" applyFont="1" applyFill="1" applyBorder="1" applyAlignment="1" applyProtection="1">
      <alignment horizontal="left" vertical="top"/>
    </xf>
    <xf numFmtId="0" fontId="50" fillId="16" borderId="3" xfId="0" applyFont="1" applyFill="1" applyBorder="1" applyAlignment="1" applyProtection="1">
      <alignment horizontal="left" vertical="top"/>
    </xf>
    <xf numFmtId="0" fontId="50" fillId="16" borderId="4" xfId="0" applyFont="1" applyFill="1" applyBorder="1" applyAlignment="1" applyProtection="1">
      <alignment horizontal="left" vertical="top"/>
    </xf>
    <xf numFmtId="0" fontId="50" fillId="16" borderId="0" xfId="0" applyFont="1" applyFill="1" applyBorder="1" applyAlignment="1" applyProtection="1">
      <alignment horizontal="left" vertical="top"/>
    </xf>
    <xf numFmtId="0" fontId="50" fillId="16" borderId="6" xfId="0" applyFont="1" applyFill="1" applyBorder="1" applyAlignment="1" applyProtection="1">
      <alignment horizontal="left" vertical="top"/>
    </xf>
    <xf numFmtId="0" fontId="50" fillId="16" borderId="14" xfId="0" applyFont="1" applyFill="1" applyBorder="1" applyAlignment="1" applyProtection="1">
      <alignment horizontal="left" vertical="top"/>
    </xf>
    <xf numFmtId="0" fontId="50" fillId="16" borderId="5" xfId="0" applyFont="1" applyFill="1" applyBorder="1" applyAlignment="1" applyProtection="1">
      <alignment horizontal="left" vertical="top"/>
    </xf>
    <xf numFmtId="0" fontId="50" fillId="16" borderId="16" xfId="0" applyFont="1" applyFill="1" applyBorder="1" applyAlignment="1" applyProtection="1">
      <alignment horizontal="left" vertical="top"/>
    </xf>
    <xf numFmtId="0" fontId="141" fillId="0" borderId="8" xfId="0" applyFont="1" applyFill="1" applyBorder="1" applyAlignment="1">
      <alignment horizontal="left" vertical="top" wrapText="1"/>
    </xf>
    <xf numFmtId="0" fontId="141" fillId="0" borderId="9" xfId="0" applyFont="1" applyFill="1" applyBorder="1" applyAlignment="1">
      <alignment horizontal="left" vertical="top" wrapText="1"/>
    </xf>
    <xf numFmtId="0" fontId="56" fillId="0" borderId="0" xfId="3" applyFill="1" applyAlignment="1" applyProtection="1">
      <alignment vertical="center"/>
    </xf>
    <xf numFmtId="0" fontId="78" fillId="0" borderId="29" xfId="0" applyFont="1" applyFill="1" applyBorder="1" applyAlignment="1" applyProtection="1">
      <alignment horizontal="left" vertical="center" wrapText="1"/>
    </xf>
    <xf numFmtId="0" fontId="56" fillId="0" borderId="0" xfId="3" applyFill="1" applyAlignment="1" applyProtection="1">
      <alignment horizontal="left" vertical="center"/>
    </xf>
    <xf numFmtId="0" fontId="56" fillId="0" borderId="0" xfId="3" applyFill="1" applyAlignment="1" applyProtection="1">
      <alignment horizontal="left" vertical="center" wrapText="1"/>
    </xf>
    <xf numFmtId="0" fontId="78" fillId="0" borderId="0" xfId="0" applyFont="1" applyFill="1" applyBorder="1" applyAlignment="1" applyProtection="1">
      <alignment horizontal="center" vertical="center" wrapText="1"/>
    </xf>
    <xf numFmtId="0" fontId="56" fillId="0" borderId="0" xfId="3" applyFill="1" applyBorder="1" applyAlignment="1" applyProtection="1">
      <alignment horizontal="left" vertical="center" wrapText="1"/>
    </xf>
    <xf numFmtId="0" fontId="56" fillId="0" borderId="0" xfId="3" applyFont="1" applyFill="1" applyBorder="1" applyAlignment="1" applyProtection="1">
      <alignment horizontal="left" vertical="center"/>
    </xf>
    <xf numFmtId="0" fontId="150" fillId="0" borderId="0" xfId="0" applyFont="1" applyFill="1" applyBorder="1" applyAlignment="1" applyProtection="1">
      <alignment horizontal="left" vertical="top" wrapText="1"/>
    </xf>
    <xf numFmtId="164" fontId="3" fillId="0" borderId="10" xfId="0" applyNumberFormat="1" applyFont="1" applyFill="1" applyBorder="1" applyAlignment="1" applyProtection="1">
      <alignment horizontal="left" vertical="center" wrapText="1"/>
      <protection locked="0"/>
    </xf>
    <xf numFmtId="0" fontId="3" fillId="0" borderId="12" xfId="0" applyFont="1" applyFill="1" applyBorder="1" applyAlignment="1" applyProtection="1">
      <alignment horizontal="left" vertical="center" wrapText="1"/>
      <protection locked="0"/>
    </xf>
    <xf numFmtId="0" fontId="153" fillId="0" borderId="18" xfId="0" applyFont="1" applyFill="1" applyBorder="1" applyAlignment="1" applyProtection="1">
      <alignment horizontal="left" vertical="center"/>
      <protection locked="0"/>
    </xf>
    <xf numFmtId="0" fontId="153" fillId="0" borderId="19" xfId="0" applyFont="1" applyFill="1" applyBorder="1" applyAlignment="1" applyProtection="1">
      <alignment horizontal="left" vertical="center"/>
      <protection locked="0"/>
    </xf>
    <xf numFmtId="0" fontId="114" fillId="0" borderId="0" xfId="0" applyFont="1" applyBorder="1" applyAlignment="1" applyProtection="1">
      <alignment horizontal="left" vertical="center" wrapText="1"/>
    </xf>
    <xf numFmtId="0" fontId="56" fillId="0" borderId="0" xfId="3" applyFill="1" applyBorder="1" applyAlignment="1" applyProtection="1">
      <alignment horizontal="left" vertical="center"/>
    </xf>
    <xf numFmtId="0" fontId="51" fillId="0" borderId="44" xfId="0" applyFont="1" applyFill="1" applyBorder="1" applyAlignment="1" applyProtection="1">
      <alignment horizontal="center" vertical="center"/>
    </xf>
    <xf numFmtId="0" fontId="51" fillId="0" borderId="31" xfId="0" applyFont="1" applyFill="1" applyBorder="1" applyAlignment="1" applyProtection="1">
      <alignment horizontal="center" vertical="center"/>
    </xf>
    <xf numFmtId="0" fontId="22" fillId="0" borderId="1" xfId="0" applyFont="1" applyFill="1" applyBorder="1" applyAlignment="1" applyProtection="1">
      <alignment horizontal="center" vertical="center" wrapText="1"/>
      <protection locked="0"/>
    </xf>
    <xf numFmtId="0" fontId="22" fillId="0" borderId="2" xfId="0" applyFont="1" applyFill="1" applyBorder="1" applyAlignment="1" applyProtection="1">
      <alignment horizontal="center" vertical="center" wrapText="1"/>
      <protection locked="0"/>
    </xf>
    <xf numFmtId="0" fontId="22" fillId="0" borderId="3" xfId="0" applyFont="1" applyFill="1" applyBorder="1" applyAlignment="1" applyProtection="1">
      <alignment horizontal="center" vertical="center" wrapText="1"/>
      <protection locked="0"/>
    </xf>
    <xf numFmtId="0" fontId="22" fillId="0" borderId="4" xfId="0" applyFont="1" applyFill="1" applyBorder="1" applyAlignment="1" applyProtection="1">
      <alignment horizontal="center" vertical="center" wrapText="1"/>
      <protection locked="0"/>
    </xf>
    <xf numFmtId="0" fontId="22" fillId="0" borderId="0" xfId="0" applyFont="1" applyFill="1" applyBorder="1" applyAlignment="1" applyProtection="1">
      <alignment horizontal="center" vertical="center" wrapText="1"/>
      <protection locked="0"/>
    </xf>
    <xf numFmtId="0" fontId="22" fillId="0" borderId="6" xfId="0" applyFont="1" applyFill="1" applyBorder="1" applyAlignment="1" applyProtection="1">
      <alignment horizontal="center" vertical="center" wrapText="1"/>
      <protection locked="0"/>
    </xf>
    <xf numFmtId="0" fontId="22" fillId="0" borderId="14" xfId="0" applyFont="1" applyFill="1" applyBorder="1" applyAlignment="1" applyProtection="1">
      <alignment horizontal="center" vertical="center" wrapText="1"/>
      <protection locked="0"/>
    </xf>
    <xf numFmtId="0" fontId="22" fillId="0" borderId="5" xfId="0" applyFont="1" applyFill="1" applyBorder="1" applyAlignment="1" applyProtection="1">
      <alignment horizontal="center" vertical="center" wrapText="1"/>
      <protection locked="0"/>
    </xf>
    <xf numFmtId="0" fontId="22" fillId="0" borderId="16" xfId="0" applyFont="1" applyFill="1" applyBorder="1" applyAlignment="1" applyProtection="1">
      <alignment horizontal="center" vertical="center" wrapText="1"/>
      <protection locked="0"/>
    </xf>
    <xf numFmtId="0" fontId="3" fillId="0" borderId="10" xfId="0" applyFont="1" applyFill="1" applyBorder="1" applyAlignment="1" applyProtection="1">
      <alignment horizontal="left" vertical="center" wrapText="1"/>
      <protection locked="0"/>
    </xf>
    <xf numFmtId="0" fontId="22" fillId="0" borderId="12" xfId="0" applyFont="1" applyBorder="1" applyAlignment="1" applyProtection="1">
      <alignment horizontal="left" vertical="center" wrapText="1"/>
      <protection locked="0"/>
    </xf>
    <xf numFmtId="0" fontId="78" fillId="0" borderId="5" xfId="0" applyFont="1" applyBorder="1" applyAlignment="1" applyProtection="1">
      <alignment horizontal="left" vertical="center"/>
    </xf>
    <xf numFmtId="0" fontId="78" fillId="0" borderId="0" xfId="0" applyFont="1" applyBorder="1" applyAlignment="1" applyProtection="1">
      <alignment horizontal="left" vertical="center" wrapText="1"/>
    </xf>
    <xf numFmtId="0" fontId="3" fillId="0" borderId="1"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14"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16" xfId="0" applyFont="1" applyBorder="1" applyAlignment="1" applyProtection="1">
      <alignment horizontal="center" vertical="center" wrapText="1"/>
      <protection locked="0"/>
    </xf>
    <xf numFmtId="49" fontId="3" fillId="0" borderId="12" xfId="0" applyNumberFormat="1" applyFont="1" applyFill="1" applyBorder="1" applyAlignment="1" applyProtection="1">
      <alignment horizontal="left" vertical="center" wrapText="1"/>
      <protection locked="0"/>
    </xf>
    <xf numFmtId="0" fontId="78" fillId="0" borderId="0" xfId="0" applyFont="1" applyFill="1" applyBorder="1" applyAlignment="1" applyProtection="1">
      <alignment horizontal="left" vertical="center"/>
    </xf>
    <xf numFmtId="0" fontId="6" fillId="0" borderId="4" xfId="0" applyFont="1" applyBorder="1" applyAlignment="1" applyProtection="1">
      <alignment horizontal="center" vertical="center" wrapText="1"/>
    </xf>
    <xf numFmtId="0" fontId="69" fillId="11" borderId="7" xfId="0" applyFont="1" applyFill="1" applyBorder="1" applyAlignment="1" applyProtection="1">
      <alignment horizontal="center" vertical="center" wrapText="1"/>
    </xf>
    <xf numFmtId="0" fontId="69" fillId="11" borderId="8" xfId="0" applyFont="1" applyFill="1" applyBorder="1" applyAlignment="1" applyProtection="1">
      <alignment horizontal="center" vertical="center" wrapText="1"/>
    </xf>
    <xf numFmtId="0" fontId="69" fillId="11" borderId="9"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0" fontId="69" fillId="10" borderId="7" xfId="0" applyFont="1" applyFill="1" applyBorder="1" applyAlignment="1" applyProtection="1">
      <alignment horizontal="center" vertical="center" wrapText="1"/>
    </xf>
    <xf numFmtId="0" fontId="69" fillId="10" borderId="8" xfId="0" applyFont="1" applyFill="1" applyBorder="1" applyAlignment="1" applyProtection="1">
      <alignment horizontal="center" vertical="center" wrapText="1"/>
    </xf>
    <xf numFmtId="0" fontId="69" fillId="10" borderId="9" xfId="0" applyFont="1" applyFill="1" applyBorder="1" applyAlignment="1" applyProtection="1">
      <alignment horizontal="center" vertical="center" wrapText="1"/>
    </xf>
    <xf numFmtId="0" fontId="52" fillId="0" borderId="1" xfId="0" applyFont="1" applyFill="1" applyBorder="1" applyAlignment="1" applyProtection="1">
      <alignment horizontal="left" vertical="top" wrapText="1"/>
      <protection locked="0"/>
    </xf>
    <xf numFmtId="0" fontId="52" fillId="0" borderId="3" xfId="0" applyFont="1" applyFill="1" applyBorder="1" applyAlignment="1" applyProtection="1">
      <alignment horizontal="left" vertical="top" wrapText="1"/>
      <protection locked="0"/>
    </xf>
    <xf numFmtId="0" fontId="52" fillId="0" borderId="14" xfId="0" applyFont="1" applyFill="1" applyBorder="1" applyAlignment="1" applyProtection="1">
      <alignment horizontal="left" vertical="top" wrapText="1"/>
      <protection locked="0"/>
    </xf>
    <xf numFmtId="0" fontId="52" fillId="0" borderId="16" xfId="0" applyFont="1" applyFill="1" applyBorder="1" applyAlignment="1" applyProtection="1">
      <alignment horizontal="left" vertical="top" wrapText="1"/>
      <protection locked="0"/>
    </xf>
    <xf numFmtId="0" fontId="52" fillId="0" borderId="0" xfId="0" applyFont="1" applyFill="1" applyBorder="1" applyAlignment="1" applyProtection="1">
      <alignment horizontal="left" vertical="center" wrapText="1"/>
    </xf>
    <xf numFmtId="0" fontId="40" fillId="0" borderId="4" xfId="0" applyFont="1" applyBorder="1" applyAlignment="1" applyProtection="1">
      <alignment horizontal="center" vertical="center" wrapText="1"/>
    </xf>
    <xf numFmtId="0" fontId="69" fillId="12" borderId="7" xfId="0" applyFont="1" applyFill="1" applyBorder="1" applyAlignment="1" applyProtection="1">
      <alignment horizontal="center" vertical="center" wrapText="1"/>
    </xf>
    <xf numFmtId="0" fontId="69" fillId="12" borderId="9" xfId="0" applyFont="1" applyFill="1" applyBorder="1" applyAlignment="1" applyProtection="1">
      <alignment horizontal="center" vertical="center" wrapText="1"/>
    </xf>
    <xf numFmtId="0" fontId="22" fillId="0" borderId="0" xfId="0" applyFont="1" applyFill="1" applyBorder="1" applyAlignment="1" applyProtection="1">
      <alignment horizontal="left" vertical="center" wrapText="1"/>
    </xf>
    <xf numFmtId="0" fontId="52" fillId="0" borderId="18" xfId="0" applyFont="1" applyFill="1" applyBorder="1" applyAlignment="1" applyProtection="1">
      <alignment horizontal="left" vertical="center" wrapText="1"/>
      <protection locked="0"/>
    </xf>
    <xf numFmtId="0" fontId="52" fillId="0" borderId="19" xfId="0" applyFont="1" applyFill="1" applyBorder="1" applyAlignment="1" applyProtection="1">
      <alignment horizontal="left" vertical="center" wrapText="1"/>
      <protection locked="0"/>
    </xf>
    <xf numFmtId="0" fontId="147" fillId="0" borderId="0" xfId="0" applyFont="1" applyBorder="1" applyAlignment="1" applyProtection="1">
      <alignment horizontal="left" vertical="top" wrapText="1"/>
      <protection locked="0"/>
    </xf>
    <xf numFmtId="0" fontId="147" fillId="0" borderId="5" xfId="0" applyFont="1" applyBorder="1" applyAlignment="1" applyProtection="1">
      <alignment horizontal="left" vertical="top" wrapText="1"/>
      <protection locked="0"/>
    </xf>
    <xf numFmtId="0" fontId="147" fillId="0" borderId="0" xfId="0" applyFont="1" applyBorder="1" applyAlignment="1" applyProtection="1">
      <alignment horizontal="left" vertical="top"/>
      <protection locked="0"/>
    </xf>
    <xf numFmtId="0" fontId="147" fillId="0" borderId="5" xfId="0" applyFont="1" applyBorder="1" applyAlignment="1" applyProtection="1">
      <alignment horizontal="left" vertical="top"/>
      <protection locked="0"/>
    </xf>
    <xf numFmtId="0" fontId="52" fillId="0" borderId="29" xfId="0" applyFont="1" applyFill="1" applyBorder="1" applyAlignment="1" applyProtection="1">
      <alignment horizontal="left" vertical="center" wrapText="1"/>
    </xf>
    <xf numFmtId="0" fontId="40" fillId="11" borderId="7" xfId="0" applyFont="1" applyFill="1" applyBorder="1" applyAlignment="1" applyProtection="1">
      <alignment horizontal="center" vertical="center" wrapText="1"/>
    </xf>
    <xf numFmtId="0" fontId="40" fillId="11" borderId="9" xfId="0" applyFont="1" applyFill="1" applyBorder="1" applyAlignment="1" applyProtection="1">
      <alignment horizontal="center" vertical="center" wrapText="1"/>
    </xf>
    <xf numFmtId="0" fontId="40" fillId="12" borderId="7" xfId="0" applyFont="1" applyFill="1" applyBorder="1" applyAlignment="1" applyProtection="1">
      <alignment horizontal="center" vertical="center" wrapText="1"/>
    </xf>
    <xf numFmtId="0" fontId="40" fillId="12" borderId="9" xfId="0" applyFont="1" applyFill="1" applyBorder="1" applyAlignment="1" applyProtection="1">
      <alignment horizontal="center" vertical="center" wrapText="1"/>
    </xf>
    <xf numFmtId="0" fontId="40" fillId="12" borderId="8" xfId="0" applyFont="1" applyFill="1" applyBorder="1" applyAlignment="1" applyProtection="1">
      <alignment horizontal="center" vertical="center" wrapText="1"/>
    </xf>
    <xf numFmtId="0" fontId="40" fillId="10" borderId="7" xfId="0" applyFont="1" applyFill="1" applyBorder="1" applyAlignment="1" applyProtection="1">
      <alignment horizontal="center" vertical="center" wrapText="1"/>
    </xf>
    <xf numFmtId="0" fontId="40" fillId="10" borderId="9" xfId="0" applyFont="1" applyFill="1" applyBorder="1" applyAlignment="1" applyProtection="1">
      <alignment horizontal="center" vertical="center" wrapText="1"/>
    </xf>
    <xf numFmtId="0" fontId="6" fillId="11" borderId="7" xfId="0" applyFont="1" applyFill="1" applyBorder="1" applyAlignment="1" applyProtection="1">
      <alignment horizontal="center" vertical="center" wrapText="1"/>
    </xf>
    <xf numFmtId="0" fontId="6" fillId="11" borderId="8" xfId="0" applyFont="1" applyFill="1" applyBorder="1" applyAlignment="1" applyProtection="1">
      <alignment horizontal="center" vertical="center" wrapText="1"/>
    </xf>
    <xf numFmtId="0" fontId="6" fillId="11" borderId="9" xfId="0" applyFont="1" applyFill="1" applyBorder="1" applyAlignment="1" applyProtection="1">
      <alignment horizontal="center" vertical="center" wrapText="1"/>
    </xf>
    <xf numFmtId="0" fontId="6" fillId="12" borderId="7" xfId="0" applyFont="1" applyFill="1" applyBorder="1" applyAlignment="1" applyProtection="1">
      <alignment horizontal="center" vertical="center" wrapText="1"/>
    </xf>
    <xf numFmtId="0" fontId="6" fillId="12" borderId="8" xfId="0" applyFont="1" applyFill="1" applyBorder="1" applyAlignment="1" applyProtection="1">
      <alignment horizontal="center" vertical="center" wrapText="1"/>
    </xf>
    <xf numFmtId="0" fontId="6" fillId="12" borderId="9" xfId="0" applyFont="1" applyFill="1" applyBorder="1" applyAlignment="1" applyProtection="1">
      <alignment horizontal="center" vertical="center" wrapText="1"/>
    </xf>
    <xf numFmtId="0" fontId="40" fillId="11" borderId="8" xfId="0" applyFont="1" applyFill="1" applyBorder="1" applyAlignment="1" applyProtection="1">
      <alignment horizontal="center" vertical="center" wrapText="1"/>
    </xf>
    <xf numFmtId="0" fontId="40" fillId="10" borderId="8" xfId="0" applyFont="1" applyFill="1" applyBorder="1" applyAlignment="1" applyProtection="1">
      <alignment horizontal="center" vertical="center" wrapText="1"/>
    </xf>
    <xf numFmtId="0" fontId="6" fillId="10" borderId="7" xfId="0" applyFont="1" applyFill="1" applyBorder="1" applyAlignment="1" applyProtection="1">
      <alignment horizontal="center" vertical="center"/>
    </xf>
    <xf numFmtId="0" fontId="6" fillId="10" borderId="8" xfId="0" applyFont="1" applyFill="1" applyBorder="1" applyAlignment="1" applyProtection="1">
      <alignment horizontal="center" vertical="center"/>
    </xf>
    <xf numFmtId="0" fontId="6" fillId="10" borderId="9" xfId="0" applyFont="1" applyFill="1" applyBorder="1" applyAlignment="1" applyProtection="1">
      <alignment horizontal="center" vertical="center"/>
    </xf>
    <xf numFmtId="0" fontId="6" fillId="11" borderId="7" xfId="0" applyFont="1" applyFill="1" applyBorder="1" applyAlignment="1" applyProtection="1">
      <alignment horizontal="center" vertical="center"/>
    </xf>
    <xf numFmtId="0" fontId="6" fillId="11" borderId="8" xfId="0" applyFont="1" applyFill="1" applyBorder="1" applyAlignment="1" applyProtection="1">
      <alignment horizontal="center" vertical="center"/>
    </xf>
    <xf numFmtId="0" fontId="6" fillId="11" borderId="9" xfId="0" applyFont="1" applyFill="1" applyBorder="1" applyAlignment="1" applyProtection="1">
      <alignment horizontal="center" vertical="center"/>
    </xf>
    <xf numFmtId="0" fontId="6" fillId="12" borderId="7" xfId="0" applyFont="1" applyFill="1" applyBorder="1" applyAlignment="1" applyProtection="1">
      <alignment horizontal="center" vertical="center"/>
    </xf>
    <xf numFmtId="0" fontId="6" fillId="12" borderId="8" xfId="0" applyFont="1" applyFill="1" applyBorder="1" applyAlignment="1" applyProtection="1">
      <alignment horizontal="center" vertical="center"/>
    </xf>
    <xf numFmtId="0" fontId="6" fillId="12" borderId="9" xfId="0" applyFont="1" applyFill="1" applyBorder="1" applyAlignment="1" applyProtection="1">
      <alignment horizontal="center" vertical="center"/>
    </xf>
    <xf numFmtId="0" fontId="6" fillId="10" borderId="7" xfId="0" applyFont="1" applyFill="1" applyBorder="1" applyAlignment="1" applyProtection="1">
      <alignment horizontal="center" vertical="center" wrapText="1"/>
    </xf>
    <xf numFmtId="0" fontId="6" fillId="10" borderId="8" xfId="0" applyFont="1" applyFill="1" applyBorder="1" applyAlignment="1" applyProtection="1">
      <alignment horizontal="center" vertical="center" wrapText="1"/>
    </xf>
    <xf numFmtId="0" fontId="6" fillId="10" borderId="9" xfId="0" applyFont="1" applyFill="1" applyBorder="1" applyAlignment="1" applyProtection="1">
      <alignment horizontal="center" vertical="center" wrapText="1"/>
    </xf>
    <xf numFmtId="0" fontId="22" fillId="0" borderId="0" xfId="0" applyFont="1" applyFill="1" applyBorder="1" applyAlignment="1" applyProtection="1">
      <alignment horizontal="left" vertical="top" wrapText="1"/>
    </xf>
    <xf numFmtId="0" fontId="147" fillId="0" borderId="0" xfId="0" applyFont="1" applyBorder="1" applyAlignment="1" applyProtection="1">
      <alignment horizontal="left" vertical="top" wrapText="1"/>
    </xf>
    <xf numFmtId="0" fontId="147" fillId="0" borderId="5" xfId="0" applyFont="1" applyBorder="1" applyAlignment="1" applyProtection="1">
      <alignment horizontal="left" vertical="top" wrapText="1"/>
    </xf>
    <xf numFmtId="0" fontId="40" fillId="12" borderId="7" xfId="0" applyFont="1" applyFill="1" applyBorder="1" applyAlignment="1" applyProtection="1">
      <alignment horizontal="center" vertical="center"/>
    </xf>
    <xf numFmtId="0" fontId="40" fillId="12" borderId="8" xfId="0" applyFont="1" applyFill="1" applyBorder="1" applyAlignment="1" applyProtection="1">
      <alignment horizontal="center" vertical="center"/>
    </xf>
    <xf numFmtId="0" fontId="40" fillId="12" borderId="9" xfId="0" applyFont="1" applyFill="1" applyBorder="1" applyAlignment="1" applyProtection="1">
      <alignment horizontal="center" vertical="center"/>
    </xf>
    <xf numFmtId="0" fontId="52" fillId="0" borderId="97" xfId="0" applyFont="1" applyFill="1" applyBorder="1" applyAlignment="1" applyProtection="1">
      <alignment horizontal="left" vertical="center" wrapText="1"/>
    </xf>
    <xf numFmtId="0" fontId="78" fillId="0" borderId="0" xfId="0" applyFont="1" applyFill="1" applyBorder="1" applyAlignment="1" applyProtection="1">
      <alignment horizontal="left" vertical="top" wrapText="1"/>
    </xf>
    <xf numFmtId="0" fontId="50" fillId="0" borderId="2" xfId="0" applyFont="1" applyFill="1" applyBorder="1" applyAlignment="1" applyProtection="1">
      <alignment horizontal="right" vertical="center"/>
    </xf>
    <xf numFmtId="0" fontId="50" fillId="0" borderId="23" xfId="0" applyFont="1" applyFill="1" applyBorder="1" applyAlignment="1" applyProtection="1">
      <alignment horizontal="right" vertical="center"/>
    </xf>
    <xf numFmtId="0" fontId="50" fillId="0" borderId="11" xfId="0" applyFont="1" applyFill="1" applyBorder="1" applyAlignment="1" applyProtection="1">
      <alignment horizontal="left" vertical="center" wrapText="1"/>
    </xf>
    <xf numFmtId="0" fontId="50" fillId="0" borderId="12" xfId="0" applyFont="1" applyFill="1" applyBorder="1" applyAlignment="1" applyProtection="1">
      <alignment horizontal="left" vertical="center" wrapText="1"/>
    </xf>
    <xf numFmtId="0" fontId="50" fillId="0" borderId="47" xfId="0" applyFont="1" applyFill="1" applyBorder="1" applyAlignment="1" applyProtection="1">
      <alignment horizontal="left" vertical="center" wrapText="1"/>
    </xf>
    <xf numFmtId="0" fontId="50" fillId="0" borderId="48" xfId="0" applyFont="1" applyFill="1" applyBorder="1" applyAlignment="1" applyProtection="1">
      <alignment horizontal="left" vertical="center" wrapText="1"/>
    </xf>
    <xf numFmtId="0" fontId="50" fillId="0" borderId="35" xfId="0" applyFont="1" applyFill="1" applyBorder="1" applyAlignment="1" applyProtection="1">
      <alignment horizontal="left" vertical="center"/>
    </xf>
    <xf numFmtId="0" fontId="50" fillId="0" borderId="45" xfId="0" applyFont="1" applyFill="1" applyBorder="1" applyAlignment="1" applyProtection="1">
      <alignment horizontal="left" vertical="center" wrapText="1"/>
    </xf>
    <xf numFmtId="0" fontId="50" fillId="0" borderId="20" xfId="0" applyFont="1" applyFill="1" applyBorder="1" applyAlignment="1" applyProtection="1">
      <alignment horizontal="left" vertical="center" wrapText="1"/>
    </xf>
    <xf numFmtId="0" fontId="61" fillId="0" borderId="0" xfId="0" applyFont="1" applyFill="1" applyBorder="1" applyAlignment="1">
      <alignment horizontal="left" vertical="center" wrapText="1"/>
    </xf>
    <xf numFmtId="0" fontId="123" fillId="2" borderId="18" xfId="0" applyFont="1" applyFill="1" applyBorder="1" applyAlignment="1">
      <alignment horizontal="center" vertical="center"/>
    </xf>
    <xf numFmtId="0" fontId="123" fillId="2" borderId="15" xfId="0" applyFont="1" applyFill="1" applyBorder="1" applyAlignment="1">
      <alignment horizontal="center" vertical="center"/>
    </xf>
    <xf numFmtId="9" fontId="123" fillId="2" borderId="50" xfId="0" applyNumberFormat="1" applyFont="1" applyFill="1" applyBorder="1" applyAlignment="1">
      <alignment horizontal="center" vertical="center"/>
    </xf>
    <xf numFmtId="9" fontId="123" fillId="2" borderId="56" xfId="0" applyNumberFormat="1" applyFont="1" applyFill="1" applyBorder="1" applyAlignment="1">
      <alignment horizontal="center" vertical="center"/>
    </xf>
    <xf numFmtId="9" fontId="123" fillId="2" borderId="102" xfId="0" applyNumberFormat="1" applyFont="1" applyFill="1" applyBorder="1" applyAlignment="1">
      <alignment horizontal="center" vertical="center"/>
    </xf>
    <xf numFmtId="9" fontId="123" fillId="2" borderId="103" xfId="0" applyNumberFormat="1" applyFont="1" applyFill="1" applyBorder="1" applyAlignment="1">
      <alignment horizontal="center" vertical="center"/>
    </xf>
    <xf numFmtId="9" fontId="54" fillId="2" borderId="15" xfId="0" applyNumberFormat="1" applyFont="1" applyFill="1" applyBorder="1" applyAlignment="1">
      <alignment horizontal="center" vertical="center" wrapText="1"/>
    </xf>
    <xf numFmtId="9" fontId="54" fillId="2" borderId="19" xfId="0" applyNumberFormat="1" applyFont="1" applyFill="1" applyBorder="1" applyAlignment="1">
      <alignment horizontal="center" vertical="center" wrapText="1"/>
    </xf>
    <xf numFmtId="9" fontId="54" fillId="2" borderId="18" xfId="0" applyNumberFormat="1" applyFont="1" applyFill="1" applyBorder="1" applyAlignment="1">
      <alignment horizontal="center" vertical="center" wrapText="1"/>
    </xf>
    <xf numFmtId="9" fontId="54" fillId="2" borderId="105" xfId="0" applyNumberFormat="1" applyFont="1" applyFill="1" applyBorder="1" applyAlignment="1">
      <alignment horizontal="center" vertical="center" wrapText="1"/>
    </xf>
    <xf numFmtId="0" fontId="53" fillId="16" borderId="0" xfId="0" applyFont="1" applyFill="1" applyAlignment="1">
      <alignment vertical="top" wrapText="1"/>
    </xf>
    <xf numFmtId="0" fontId="53" fillId="16" borderId="2" xfId="0" applyFont="1" applyFill="1" applyBorder="1" applyAlignment="1">
      <alignment vertical="top" wrapText="1"/>
    </xf>
    <xf numFmtId="0" fontId="53" fillId="16" borderId="0" xfId="0" applyFont="1" applyFill="1" applyBorder="1" applyAlignment="1">
      <alignment vertical="top" wrapText="1"/>
    </xf>
    <xf numFmtId="0" fontId="53" fillId="16" borderId="5" xfId="0" applyFont="1" applyFill="1" applyBorder="1" applyAlignment="1">
      <alignment vertical="top" wrapText="1"/>
    </xf>
    <xf numFmtId="0" fontId="119" fillId="18" borderId="17" xfId="0" applyFont="1" applyFill="1" applyBorder="1" applyAlignment="1">
      <alignment horizontal="center" vertical="top"/>
    </xf>
    <xf numFmtId="0" fontId="119" fillId="17" borderId="17" xfId="0" applyFont="1" applyFill="1" applyBorder="1" applyAlignment="1">
      <alignment horizontal="center" vertical="top"/>
    </xf>
    <xf numFmtId="0" fontId="119" fillId="17" borderId="7" xfId="0" applyFont="1" applyFill="1" applyBorder="1" applyAlignment="1">
      <alignment horizontal="center" vertical="top"/>
    </xf>
    <xf numFmtId="0" fontId="119" fillId="21" borderId="9" xfId="0" applyFont="1" applyFill="1" applyBorder="1" applyAlignment="1">
      <alignment horizontal="center" vertical="top"/>
    </xf>
    <xf numFmtId="0" fontId="119" fillId="21" borderId="17" xfId="0" applyFont="1" applyFill="1" applyBorder="1" applyAlignment="1">
      <alignment horizontal="center" vertical="top"/>
    </xf>
    <xf numFmtId="0" fontId="54" fillId="19" borderId="9" xfId="0" applyFont="1" applyFill="1" applyBorder="1" applyAlignment="1">
      <alignment horizontal="center" vertical="top"/>
    </xf>
    <xf numFmtId="0" fontId="54" fillId="19" borderId="17" xfId="0" applyFont="1" applyFill="1" applyBorder="1" applyAlignment="1">
      <alignment horizontal="center" vertical="top"/>
    </xf>
    <xf numFmtId="0" fontId="54" fillId="19" borderId="7" xfId="0" applyFont="1" applyFill="1" applyBorder="1" applyAlignment="1">
      <alignment horizontal="center" vertical="top"/>
    </xf>
    <xf numFmtId="0" fontId="119" fillId="20" borderId="17" xfId="0" applyFont="1" applyFill="1" applyBorder="1" applyAlignment="1">
      <alignment horizontal="center" vertical="top"/>
    </xf>
    <xf numFmtId="0" fontId="90" fillId="0" borderId="0" xfId="0" applyFont="1" applyFill="1" applyAlignment="1">
      <alignment horizontal="left" vertical="center" wrapText="1"/>
    </xf>
    <xf numFmtId="0" fontId="61" fillId="0" borderId="5" xfId="0" applyFont="1" applyFill="1" applyBorder="1" applyAlignment="1">
      <alignment horizontal="center" vertical="center" wrapText="1"/>
    </xf>
    <xf numFmtId="0" fontId="34" fillId="0" borderId="0" xfId="0" applyFont="1" applyBorder="1" applyAlignment="1">
      <alignment horizontal="left" vertical="top" wrapText="1"/>
    </xf>
    <xf numFmtId="0" fontId="34" fillId="0" borderId="8" xfId="0" applyFont="1" applyBorder="1" applyAlignment="1">
      <alignment horizontal="left" vertical="top" wrapText="1"/>
    </xf>
    <xf numFmtId="0" fontId="34" fillId="0" borderId="9" xfId="0" applyFont="1" applyBorder="1" applyAlignment="1">
      <alignment horizontal="left" vertical="top" wrapText="1"/>
    </xf>
    <xf numFmtId="0" fontId="58" fillId="0" borderId="0" xfId="0" applyFont="1" applyFill="1" applyBorder="1" applyAlignment="1" applyProtection="1">
      <alignment horizontal="left" vertical="center" wrapText="1"/>
    </xf>
    <xf numFmtId="0" fontId="34" fillId="0" borderId="8" xfId="0" applyFont="1" applyBorder="1" applyAlignment="1" applyProtection="1">
      <alignment horizontal="left" vertical="top" wrapText="1"/>
      <protection locked="0"/>
    </xf>
    <xf numFmtId="0" fontId="34" fillId="0" borderId="9" xfId="0" applyFont="1" applyBorder="1" applyAlignment="1" applyProtection="1">
      <alignment horizontal="left" vertical="top" wrapText="1"/>
      <protection locked="0"/>
    </xf>
    <xf numFmtId="0" fontId="51" fillId="0" borderId="30" xfId="0" applyFont="1" applyFill="1" applyBorder="1" applyAlignment="1" applyProtection="1">
      <alignment horizontal="center" vertical="center" wrapText="1"/>
    </xf>
    <xf numFmtId="0" fontId="51" fillId="0" borderId="31" xfId="0" applyFont="1" applyFill="1" applyBorder="1" applyAlignment="1" applyProtection="1">
      <alignment horizontal="center" vertical="center" wrapText="1"/>
    </xf>
    <xf numFmtId="0" fontId="51" fillId="0" borderId="58" xfId="0" applyFont="1" applyFill="1" applyBorder="1" applyAlignment="1" applyProtection="1">
      <alignment horizontal="center" vertical="center" wrapText="1"/>
    </xf>
    <xf numFmtId="0" fontId="47" fillId="0" borderId="0" xfId="0" applyFont="1" applyFill="1" applyBorder="1" applyAlignment="1" applyProtection="1">
      <alignment horizontal="left" vertical="center" wrapText="1"/>
    </xf>
    <xf numFmtId="0" fontId="49" fillId="0" borderId="0" xfId="0" applyFont="1" applyFill="1" applyBorder="1" applyAlignment="1" applyProtection="1">
      <alignment horizontal="left" vertical="top" wrapText="1"/>
    </xf>
    <xf numFmtId="0" fontId="49" fillId="0" borderId="57" xfId="0" applyFont="1" applyFill="1" applyBorder="1" applyAlignment="1" applyProtection="1">
      <alignment horizontal="left" vertical="top" wrapText="1"/>
    </xf>
    <xf numFmtId="0" fontId="111" fillId="4" borderId="30" xfId="0" applyFont="1" applyFill="1" applyBorder="1" applyAlignment="1">
      <alignment horizontal="center" vertical="center"/>
    </xf>
    <xf numFmtId="0" fontId="111" fillId="4" borderId="31" xfId="0" applyFont="1" applyFill="1" applyBorder="1" applyAlignment="1">
      <alignment horizontal="center" vertical="center"/>
    </xf>
    <xf numFmtId="0" fontId="111" fillId="2" borderId="30" xfId="0" applyFont="1" applyFill="1" applyBorder="1" applyAlignment="1">
      <alignment horizontal="center" vertical="center"/>
    </xf>
    <xf numFmtId="0" fontId="111" fillId="2" borderId="31" xfId="0" applyFont="1" applyFill="1" applyBorder="1" applyAlignment="1">
      <alignment horizontal="center" vertical="center"/>
    </xf>
  </cellXfs>
  <cellStyles count="4">
    <cellStyle name="Hyperlink" xfId="3" builtinId="8"/>
    <cellStyle name="Normal" xfId="0" builtinId="0"/>
    <cellStyle name="Normal 2" xfId="2"/>
    <cellStyle name="Percent" xfId="1" builtinId="5"/>
  </cellStyles>
  <dxfs count="264">
    <dxf>
      <font>
        <b val="0"/>
        <i val="0"/>
        <strike val="0"/>
        <condense val="0"/>
        <extend val="0"/>
        <outline val="0"/>
        <shadow val="0"/>
        <u val="none"/>
        <vertAlign val="baseline"/>
        <sz val="10"/>
        <color theme="1"/>
        <name val="Verdana"/>
        <scheme val="minor"/>
      </font>
      <fill>
        <patternFill patternType="none">
          <fgColor indexed="64"/>
          <bgColor indexed="65"/>
        </patternFill>
      </fill>
      <alignment horizontal="center" vertical="center" textRotation="0" wrapText="0" indent="0" justifyLastLine="0" shrinkToFit="0" readingOrder="0"/>
      <border diagonalUp="0" diagonalDown="0" outline="0">
        <left style="medium">
          <color indexed="64"/>
        </left>
        <right style="medium">
          <color indexed="64"/>
        </right>
        <top/>
        <bottom/>
      </border>
    </dxf>
    <dxf>
      <font>
        <b/>
        <i val="0"/>
        <strike val="0"/>
        <condense val="0"/>
        <extend val="0"/>
        <outline val="0"/>
        <shadow val="0"/>
        <u val="none"/>
        <vertAlign val="baseline"/>
        <sz val="10"/>
        <color theme="1"/>
        <name val="Verdana"/>
        <scheme val="minor"/>
      </font>
      <fill>
        <patternFill patternType="solid">
          <fgColor indexed="64"/>
          <bgColor rgb="FFD6E4F2"/>
        </patternFill>
      </fill>
      <alignment horizontal="center" vertical="center" textRotation="0" wrapText="0"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0"/>
        <color theme="1"/>
        <name val="Verdana"/>
        <scheme val="minor"/>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Verdana"/>
        <scheme val="minor"/>
      </font>
      <fill>
        <patternFill patternType="solid">
          <fgColor indexed="64"/>
          <bgColor rgb="FFD6E4F2"/>
        </patternFill>
      </fill>
      <alignment horizontal="center" vertical="center" textRotation="0" wrapText="0" indent="0" justifyLastLine="0" shrinkToFit="0" readingOrder="0"/>
      <border diagonalUp="0" diagonalDown="0">
        <left style="medium">
          <color indexed="64"/>
        </left>
        <right style="medium">
          <color indexed="64"/>
        </right>
        <top/>
        <bottom/>
        <vertical/>
        <horizontal/>
      </border>
    </dxf>
    <dxf>
      <font>
        <b val="0"/>
        <i val="0"/>
        <strike val="0"/>
        <condense val="0"/>
        <extend val="0"/>
        <outline val="0"/>
        <shadow val="0"/>
        <u val="none"/>
        <vertAlign val="baseline"/>
        <sz val="10"/>
        <color theme="1"/>
        <name val="Verdana"/>
        <scheme val="minor"/>
      </font>
      <numFmt numFmtId="0" formatCode="General"/>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Verdana"/>
        <scheme val="minor"/>
      </font>
      <numFmt numFmtId="0" formatCode="General"/>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Verdana"/>
        <scheme val="minor"/>
      </font>
      <fill>
        <patternFill patternType="none">
          <fgColor indexed="64"/>
          <bgColor indexed="65"/>
        </patternFill>
      </fill>
      <alignment horizontal="general" vertical="center" textRotation="0" wrapText="0" indent="0" justifyLastLine="0" shrinkToFit="0" readingOrder="0"/>
    </dxf>
    <dxf>
      <border outline="0">
        <top style="medium">
          <color indexed="64"/>
        </top>
      </border>
    </dxf>
    <dxf>
      <font>
        <b val="0"/>
        <i val="0"/>
        <strike val="0"/>
        <condense val="0"/>
        <extend val="0"/>
        <outline val="0"/>
        <shadow val="0"/>
        <u val="none"/>
        <vertAlign val="baseline"/>
        <sz val="10"/>
        <color theme="1"/>
        <name val="Verdana"/>
        <scheme val="minor"/>
      </font>
      <fill>
        <patternFill patternType="none">
          <fgColor indexed="64"/>
          <bgColor indexed="65"/>
        </patternFill>
      </fill>
      <alignment horizontal="center" vertical="center" textRotation="0" wrapText="0" indent="0" justifyLastLine="0" shrinkToFit="0" readingOrder="0"/>
    </dxf>
    <dxf>
      <border outline="0">
        <bottom style="medium">
          <color indexed="64"/>
        </bottom>
      </border>
    </dxf>
    <dxf>
      <font>
        <b/>
        <i val="0"/>
        <strike val="0"/>
        <condense val="0"/>
        <extend val="0"/>
        <outline val="0"/>
        <shadow val="0"/>
        <u val="none"/>
        <vertAlign val="baseline"/>
        <sz val="10"/>
        <color theme="1"/>
        <name val="Verdana"/>
        <scheme val="minor"/>
      </font>
      <alignment horizontal="left" vertical="bottom" textRotation="0" wrapText="0" indent="0" justifyLastLine="0" shrinkToFit="0" readingOrder="0"/>
    </dxf>
    <dxf>
      <fill>
        <patternFill>
          <bgColor theme="6"/>
        </patternFill>
      </fill>
    </dxf>
    <dxf>
      <fill>
        <patternFill>
          <bgColor rgb="FFFFC000"/>
        </patternFill>
      </fill>
    </dxf>
    <dxf>
      <fill>
        <patternFill>
          <bgColor theme="7"/>
        </patternFill>
      </fill>
    </dxf>
    <dxf>
      <font>
        <strike val="0"/>
        <outline val="0"/>
        <shadow val="0"/>
        <u val="none"/>
        <vertAlign val="baseline"/>
        <sz val="9"/>
        <name val="Verdana"/>
        <scheme val="none"/>
      </font>
      <numFmt numFmtId="0" formatCode="General"/>
      <fill>
        <patternFill patternType="none">
          <bgColor auto="1"/>
        </patternFill>
      </fill>
      <protection locked="1" hidden="0"/>
    </dxf>
    <dxf>
      <font>
        <b/>
        <i val="0"/>
        <strike val="0"/>
        <condense val="0"/>
        <extend val="0"/>
        <outline val="0"/>
        <shadow val="0"/>
        <u val="none"/>
        <vertAlign val="baseline"/>
        <sz val="9"/>
        <color theme="1"/>
        <name val="Verdana"/>
        <scheme val="none"/>
      </font>
      <numFmt numFmtId="0" formatCode="General"/>
      <fill>
        <patternFill patternType="none">
          <fgColor indexed="64"/>
          <bgColor indexed="65"/>
        </patternFill>
      </fill>
      <alignment horizontal="center" vertical="top" textRotation="0" wrapText="1" indent="0" justifyLastLine="0" shrinkToFit="0" readingOrder="0"/>
      <protection locked="1" hidden="0"/>
    </dxf>
    <dxf>
      <font>
        <b val="0"/>
        <i val="0"/>
        <strike val="0"/>
        <condense val="0"/>
        <extend val="0"/>
        <outline val="0"/>
        <shadow val="0"/>
        <u val="none"/>
        <vertAlign val="baseline"/>
        <sz val="9"/>
        <color theme="1"/>
        <name val="Verdana"/>
        <scheme val="none"/>
      </font>
      <fill>
        <patternFill patternType="none">
          <fgColor indexed="64"/>
          <bgColor auto="1"/>
        </patternFill>
      </fill>
      <alignment horizontal="center" vertical="top" textRotation="0" wrapText="1" indent="0" justifyLastLine="0" shrinkToFit="0" readingOrder="0"/>
      <border diagonalUp="0" diagonalDown="0">
        <left/>
        <right style="medium">
          <color indexed="64"/>
        </right>
        <top/>
        <bottom/>
      </border>
      <protection locked="1" hidden="0"/>
    </dxf>
    <dxf>
      <font>
        <b/>
        <i val="0"/>
        <strike val="0"/>
        <condense val="0"/>
        <extend val="0"/>
        <outline val="0"/>
        <shadow val="0"/>
        <u val="none"/>
        <vertAlign val="baseline"/>
        <sz val="9"/>
        <color rgb="FF0058B1"/>
        <name val="Verdana"/>
        <scheme val="none"/>
      </font>
      <numFmt numFmtId="30" formatCode="@"/>
      <fill>
        <patternFill patternType="none">
          <fgColor theme="0" tint="-0.14999847407452621"/>
          <bgColor auto="1"/>
        </patternFill>
      </fill>
      <alignment horizontal="left" vertical="top" textRotation="0" wrapText="1" indent="0" justifyLastLine="0" shrinkToFit="0" readingOrder="0"/>
      <protection locked="1" hidden="0"/>
    </dxf>
    <dxf>
      <border outline="0">
        <left style="medium">
          <color indexed="64"/>
        </left>
        <right style="medium">
          <color indexed="64"/>
        </right>
        <top style="medium">
          <color indexed="64"/>
        </top>
      </border>
    </dxf>
    <dxf>
      <font>
        <strike val="0"/>
        <outline val="0"/>
        <shadow val="0"/>
        <u val="none"/>
        <vertAlign val="baseline"/>
        <sz val="9"/>
        <name val="Verdana"/>
        <scheme val="none"/>
      </font>
      <fill>
        <patternFill patternType="none">
          <bgColor auto="1"/>
        </patternFill>
      </fill>
      <protection locked="1" hidden="0"/>
    </dxf>
    <dxf>
      <border outline="0">
        <bottom style="thin">
          <color theme="1"/>
        </bottom>
      </border>
    </dxf>
    <dxf>
      <font>
        <strike val="0"/>
        <outline val="0"/>
        <shadow val="0"/>
        <u val="none"/>
        <vertAlign val="baseline"/>
        <sz val="9"/>
        <name val="Verdana"/>
        <scheme val="none"/>
      </font>
      <protection locked="1" hidden="0"/>
    </dxf>
    <dxf>
      <font>
        <strike val="0"/>
        <outline val="0"/>
        <shadow val="0"/>
        <u val="none"/>
        <vertAlign val="baseline"/>
        <sz val="9"/>
        <name val="Verdana"/>
        <scheme val="none"/>
      </font>
    </dxf>
    <dxf>
      <font>
        <b val="0"/>
        <i val="0"/>
        <strike val="0"/>
        <condense val="0"/>
        <extend val="0"/>
        <outline val="0"/>
        <shadow val="0"/>
        <u val="none"/>
        <vertAlign val="baseline"/>
        <sz val="9"/>
        <color theme="1"/>
        <name val="Verdana"/>
        <scheme val="none"/>
      </font>
      <fill>
        <patternFill patternType="none">
          <fgColor indexed="64"/>
          <bgColor auto="1"/>
        </patternFill>
      </fill>
      <alignment horizontal="center" vertical="top" textRotation="0" wrapText="1" indent="0" justifyLastLine="0" shrinkToFit="0" readingOrder="0"/>
      <border diagonalUp="0" diagonalDown="0">
        <left style="medium">
          <color indexed="64"/>
        </left>
        <right style="medium">
          <color indexed="64"/>
        </right>
        <top/>
        <bottom/>
      </border>
      <protection locked="0" hidden="0"/>
    </dxf>
    <dxf>
      <font>
        <b/>
        <i val="0"/>
        <strike val="0"/>
        <condense val="0"/>
        <extend val="0"/>
        <outline val="0"/>
        <shadow val="0"/>
        <u val="none"/>
        <vertAlign val="baseline"/>
        <sz val="9"/>
        <color rgb="FF0058B1"/>
        <name val="Verdana"/>
        <scheme val="none"/>
      </font>
      <numFmt numFmtId="30" formatCode="@"/>
      <fill>
        <patternFill patternType="none">
          <fgColor theme="0" tint="-0.14999847407452621"/>
          <bgColor auto="1"/>
        </patternFill>
      </fill>
      <alignment horizontal="general" vertical="top" textRotation="0" wrapText="1" indent="0" justifyLastLine="0" shrinkToFit="0" readingOrder="0"/>
      <protection locked="1" hidden="0"/>
    </dxf>
    <dxf>
      <border outline="0">
        <left style="medium">
          <color indexed="64"/>
        </left>
        <right style="medium">
          <color indexed="64"/>
        </right>
        <top style="medium">
          <color indexed="64"/>
        </top>
      </border>
    </dxf>
    <dxf>
      <font>
        <strike val="0"/>
        <outline val="0"/>
        <shadow val="0"/>
        <u val="none"/>
        <vertAlign val="baseline"/>
        <sz val="9"/>
        <name val="Verdana"/>
        <scheme val="none"/>
      </font>
    </dxf>
    <dxf>
      <border outline="0">
        <bottom style="thin">
          <color theme="1"/>
        </bottom>
      </border>
    </dxf>
    <dxf>
      <font>
        <b val="0"/>
        <i val="0"/>
        <strike val="0"/>
        <condense val="0"/>
        <extend val="0"/>
        <outline val="0"/>
        <shadow val="0"/>
        <u val="none"/>
        <vertAlign val="baseline"/>
        <sz val="9"/>
        <color theme="1"/>
        <name val="Verdana"/>
        <scheme val="none"/>
      </font>
      <alignment horizontal="general" vertical="top" textRotation="0" wrapText="1" indent="0" justifyLastLine="0" shrinkToFit="0" readingOrder="0"/>
      <protection locked="1" hidden="0"/>
    </dxf>
    <dxf>
      <font>
        <b val="0"/>
        <i val="0"/>
        <strike val="0"/>
        <condense val="0"/>
        <extend val="0"/>
        <outline val="0"/>
        <shadow val="0"/>
        <u val="none"/>
        <vertAlign val="baseline"/>
        <sz val="9"/>
        <color theme="1"/>
        <name val="Verdana"/>
        <scheme val="none"/>
      </font>
      <fill>
        <patternFill patternType="none">
          <fgColor indexed="64"/>
          <bgColor auto="1"/>
        </patternFill>
      </fill>
      <alignment horizontal="center" vertical="top" textRotation="0" wrapText="1" indent="0" justifyLastLine="0" shrinkToFit="0" readingOrder="0"/>
      <protection locked="0" hidden="0"/>
    </dxf>
    <dxf>
      <font>
        <b/>
        <i val="0"/>
        <strike val="0"/>
        <condense val="0"/>
        <extend val="0"/>
        <outline val="0"/>
        <shadow val="0"/>
        <u val="none"/>
        <vertAlign val="baseline"/>
        <sz val="9"/>
        <color rgb="FF0058B1"/>
        <name val="Verdana"/>
        <scheme val="none"/>
      </font>
      <numFmt numFmtId="30" formatCode="@"/>
      <fill>
        <patternFill patternType="none">
          <fgColor theme="0" tint="-0.14999847407452621"/>
          <bgColor auto="1"/>
        </patternFill>
      </fill>
      <alignment horizontal="left" vertical="top" textRotation="0" wrapText="1" indent="0" justifyLastLine="0" shrinkToFit="0" readingOrder="0"/>
      <protection locked="1" hidden="0"/>
    </dxf>
    <dxf>
      <border outline="0">
        <left style="medium">
          <color indexed="64"/>
        </left>
        <right style="medium">
          <color indexed="64"/>
        </right>
        <top style="medium">
          <color indexed="64"/>
        </top>
      </border>
    </dxf>
    <dxf>
      <fill>
        <patternFill patternType="none">
          <bgColor auto="1"/>
        </patternFill>
      </fill>
      <protection locked="1" hidden="0"/>
    </dxf>
    <dxf>
      <border outline="0">
        <bottom style="thin">
          <color theme="1"/>
        </bottom>
      </border>
    </dxf>
    <dxf>
      <alignment horizontal="left" vertical="top" textRotation="0" wrapText="1" indent="0" justifyLastLine="0" shrinkToFit="0" readingOrder="0"/>
      <protection locked="1" hidden="0"/>
    </dxf>
    <dxf>
      <font>
        <b val="0"/>
        <i val="0"/>
        <strike val="0"/>
        <condense val="0"/>
        <extend val="0"/>
        <outline val="0"/>
        <shadow val="0"/>
        <u val="none"/>
        <vertAlign val="baseline"/>
        <sz val="9"/>
        <color theme="1"/>
        <name val="Verdana"/>
        <scheme val="none"/>
      </font>
      <fill>
        <patternFill patternType="none">
          <fgColor indexed="64"/>
          <bgColor auto="1"/>
        </patternFill>
      </fill>
      <alignment horizontal="center" vertical="top" textRotation="0" wrapText="1" indent="0" justifyLastLine="0" shrinkToFit="0" readingOrder="0"/>
      <protection locked="0" hidden="0"/>
    </dxf>
    <dxf>
      <font>
        <b/>
        <i val="0"/>
        <strike val="0"/>
        <condense val="0"/>
        <extend val="0"/>
        <outline val="0"/>
        <shadow val="0"/>
        <u val="none"/>
        <vertAlign val="baseline"/>
        <sz val="9"/>
        <color rgb="FF0058B1"/>
        <name val="Verdana"/>
        <scheme val="none"/>
      </font>
      <numFmt numFmtId="30" formatCode="@"/>
      <fill>
        <patternFill patternType="none">
          <fgColor theme="0" tint="-0.14999847407452621"/>
          <bgColor auto="1"/>
        </patternFill>
      </fill>
      <alignment horizontal="left" vertical="top" textRotation="0" wrapText="1" indent="0" justifyLastLine="0" shrinkToFit="0" readingOrder="0"/>
      <protection locked="1" hidden="0"/>
    </dxf>
    <dxf>
      <border outline="0">
        <left style="medium">
          <color indexed="64"/>
        </left>
        <right style="medium">
          <color indexed="64"/>
        </right>
        <top style="medium">
          <color indexed="64"/>
        </top>
      </border>
    </dxf>
    <dxf>
      <fill>
        <patternFill patternType="none">
          <bgColor auto="1"/>
        </patternFill>
      </fill>
      <protection locked="1" hidden="0"/>
    </dxf>
    <dxf>
      <border outline="0">
        <bottom style="thin">
          <color theme="1"/>
        </bottom>
      </border>
    </dxf>
    <dxf>
      <alignment horizontal="left" vertical="top" textRotation="0" wrapText="1" indent="0" justifyLastLine="0" shrinkToFit="0" readingOrder="0"/>
      <protection locked="1" hidden="0"/>
    </dxf>
    <dxf>
      <fill>
        <patternFill patternType="none">
          <bgColor auto="1"/>
        </patternFill>
      </fill>
      <border diagonalUp="0" diagonalDown="0">
        <left style="thin">
          <color auto="1"/>
        </left>
        <right style="thin">
          <color auto="1"/>
        </right>
        <top/>
        <bottom/>
        <vertical style="thin">
          <color auto="1"/>
        </vertical>
        <horizontal/>
      </border>
      <protection locked="0" hidden="0"/>
    </dxf>
    <dxf>
      <font>
        <b val="0"/>
        <i val="0"/>
        <strike val="0"/>
        <condense val="0"/>
        <extend val="0"/>
        <outline val="0"/>
        <shadow val="0"/>
        <u val="none"/>
        <vertAlign val="baseline"/>
        <sz val="9"/>
        <color theme="1"/>
        <name val="Verdana"/>
        <scheme val="none"/>
      </font>
      <fill>
        <patternFill patternType="none">
          <fgColor indexed="64"/>
          <bgColor indexed="65"/>
        </patternFill>
      </fill>
      <alignment horizontal="general" vertical="top" textRotation="0" wrapText="1" indent="0" justifyLastLine="0" shrinkToFit="0" readingOrder="0"/>
      <border diagonalUp="0" diagonalDown="0">
        <left style="thin">
          <color auto="1"/>
        </left>
        <right style="thin">
          <color auto="1"/>
        </right>
        <top/>
        <bottom/>
        <vertical style="thin">
          <color auto="1"/>
        </vertical>
        <horizontal/>
      </border>
      <protection locked="0" hidden="0"/>
    </dxf>
    <dxf>
      <font>
        <b val="0"/>
        <i val="0"/>
        <strike val="0"/>
        <condense val="0"/>
        <extend val="0"/>
        <outline val="0"/>
        <shadow val="0"/>
        <u val="none"/>
        <vertAlign val="baseline"/>
        <sz val="9"/>
        <color theme="1"/>
        <name val="Verdana"/>
        <scheme val="none"/>
      </font>
      <fill>
        <patternFill patternType="none">
          <fgColor indexed="64"/>
          <bgColor indexed="65"/>
        </patternFill>
      </fill>
      <alignment horizontal="general" vertical="top" textRotation="0" wrapText="1" indent="0" justifyLastLine="0" shrinkToFit="0" readingOrder="0"/>
      <border diagonalUp="0" diagonalDown="0">
        <left style="thin">
          <color auto="1"/>
        </left>
        <right style="thin">
          <color auto="1"/>
        </right>
        <top/>
        <bottom/>
        <vertical style="thin">
          <color auto="1"/>
        </vertical>
        <horizontal/>
      </border>
      <protection locked="0" hidden="0"/>
    </dxf>
    <dxf>
      <fill>
        <patternFill patternType="none">
          <bgColor auto="1"/>
        </patternFill>
      </fill>
      <border diagonalUp="0" diagonalDown="0">
        <left style="thin">
          <color auto="1"/>
        </left>
        <right style="thin">
          <color auto="1"/>
        </right>
        <top/>
        <bottom/>
        <vertical style="thin">
          <color auto="1"/>
        </vertical>
        <horizontal/>
      </border>
      <protection locked="0" hidden="0"/>
    </dxf>
    <dxf>
      <font>
        <b val="0"/>
        <i val="0"/>
        <strike val="0"/>
        <condense val="0"/>
        <extend val="0"/>
        <outline val="0"/>
        <shadow val="0"/>
        <u val="none"/>
        <vertAlign val="baseline"/>
        <sz val="9"/>
        <color theme="1"/>
        <name val="Verdana"/>
        <scheme val="none"/>
      </font>
      <fill>
        <patternFill patternType="none">
          <fgColor indexed="64"/>
          <bgColor auto="1"/>
        </patternFill>
      </fill>
      <alignment horizontal="center" vertical="top" textRotation="0" wrapText="1" indent="0" justifyLastLine="0" shrinkToFit="0" readingOrder="0"/>
      <border diagonalUp="0" diagonalDown="0">
        <left style="thin">
          <color auto="1"/>
        </left>
        <right style="thin">
          <color auto="1"/>
        </right>
        <top/>
        <bottom/>
        <vertical style="thin">
          <color auto="1"/>
        </vertical>
        <horizontal/>
      </border>
      <protection locked="0" hidden="0"/>
    </dxf>
    <dxf>
      <font>
        <b/>
        <i val="0"/>
        <strike val="0"/>
        <condense val="0"/>
        <extend val="0"/>
        <outline val="0"/>
        <shadow val="0"/>
        <u val="none"/>
        <vertAlign val="baseline"/>
        <sz val="9"/>
        <color rgb="FF0058B1"/>
        <name val="Verdana"/>
        <scheme val="none"/>
      </font>
      <numFmt numFmtId="30" formatCode="@"/>
      <fill>
        <patternFill patternType="none">
          <fgColor theme="0" tint="-0.14999847407452621"/>
          <bgColor auto="1"/>
        </patternFill>
      </fill>
      <alignment horizontal="left" vertical="top" textRotation="0" wrapText="1" indent="0" justifyLastLine="0" shrinkToFit="0" readingOrder="0"/>
      <protection locked="1" hidden="0"/>
    </dxf>
    <dxf>
      <border outline="0">
        <left style="medium">
          <color indexed="64"/>
        </left>
        <right style="medium">
          <color indexed="64"/>
        </right>
        <top style="medium">
          <color indexed="64"/>
        </top>
      </border>
    </dxf>
    <dxf>
      <fill>
        <patternFill patternType="none">
          <bgColor auto="1"/>
        </patternFill>
      </fill>
      <protection locked="1" hidden="0"/>
    </dxf>
    <dxf>
      <border outline="0">
        <bottom style="thin">
          <color theme="1"/>
        </bottom>
      </border>
    </dxf>
    <dxf>
      <font>
        <strike val="0"/>
        <outline val="0"/>
        <shadow val="0"/>
        <u val="none"/>
        <vertAlign val="baseline"/>
        <sz val="9"/>
        <color theme="0"/>
        <name val="Verdana"/>
        <scheme val="none"/>
      </font>
      <alignment horizontal="left" vertical="top" textRotation="0" wrapText="0" indent="0" justifyLastLine="0" shrinkToFit="0" readingOrder="0"/>
      <protection locked="1" hidden="0"/>
    </dxf>
    <dxf>
      <font>
        <b val="0"/>
        <i val="0"/>
        <strike val="0"/>
        <condense val="0"/>
        <extend val="0"/>
        <outline val="0"/>
        <shadow val="0"/>
        <u val="none"/>
        <vertAlign val="baseline"/>
        <sz val="9"/>
        <color theme="1"/>
        <name val="Verdana"/>
        <scheme val="none"/>
      </font>
      <fill>
        <patternFill patternType="none">
          <fgColor indexed="64"/>
          <bgColor auto="1"/>
        </patternFill>
      </fill>
      <alignment horizontal="center" vertical="top" textRotation="0" wrapText="1" indent="0" justifyLastLine="0" shrinkToFit="0" readingOrder="0"/>
      <protection locked="0" hidden="0"/>
    </dxf>
    <dxf>
      <font>
        <b/>
        <i val="0"/>
        <strike val="0"/>
        <condense val="0"/>
        <extend val="0"/>
        <outline val="0"/>
        <shadow val="0"/>
        <u val="none"/>
        <vertAlign val="baseline"/>
        <sz val="9"/>
        <color rgb="FF0058B1"/>
        <name val="Verdana"/>
        <scheme val="none"/>
      </font>
      <numFmt numFmtId="30" formatCode="@"/>
      <fill>
        <patternFill patternType="none">
          <fgColor theme="0" tint="-0.14999847407452621"/>
          <bgColor auto="1"/>
        </patternFill>
      </fill>
      <alignment horizontal="left" vertical="top" textRotation="0" wrapText="1" indent="0" justifyLastLine="0" shrinkToFit="0" readingOrder="0"/>
      <protection locked="1" hidden="0"/>
    </dxf>
    <dxf>
      <border outline="0">
        <left style="medium">
          <color indexed="64"/>
        </left>
        <right style="medium">
          <color indexed="64"/>
        </right>
        <top style="medium">
          <color indexed="64"/>
        </top>
      </border>
    </dxf>
    <dxf>
      <fill>
        <patternFill patternType="none">
          <bgColor auto="1"/>
        </patternFill>
      </fill>
      <protection locked="1" hidden="0"/>
    </dxf>
    <dxf>
      <border outline="0">
        <bottom style="thin">
          <color theme="1"/>
        </bottom>
      </border>
    </dxf>
    <dxf>
      <alignment horizontal="left" vertical="top" textRotation="0" wrapText="1" indent="0" justifyLastLine="0" shrinkToFit="0" readingOrder="0"/>
      <protection locked="1" hidden="0"/>
    </dxf>
    <dxf>
      <font>
        <b val="0"/>
        <i val="0"/>
        <strike val="0"/>
        <condense val="0"/>
        <extend val="0"/>
        <outline val="0"/>
        <shadow val="0"/>
        <u val="none"/>
        <vertAlign val="baseline"/>
        <sz val="9"/>
        <color theme="1"/>
        <name val="Verdana"/>
        <scheme val="none"/>
      </font>
      <fill>
        <patternFill patternType="none">
          <fgColor indexed="64"/>
          <bgColor auto="1"/>
        </patternFill>
      </fill>
      <alignment horizontal="center" vertical="top" textRotation="0" wrapText="1" indent="0" justifyLastLine="0" shrinkToFit="0" readingOrder="0"/>
      <protection locked="0" hidden="0"/>
    </dxf>
    <dxf>
      <font>
        <b/>
        <i val="0"/>
        <strike val="0"/>
        <condense val="0"/>
        <extend val="0"/>
        <outline val="0"/>
        <shadow val="0"/>
        <u val="none"/>
        <vertAlign val="baseline"/>
        <sz val="9"/>
        <color rgb="FF0058B1"/>
        <name val="Verdana"/>
        <scheme val="none"/>
      </font>
      <numFmt numFmtId="30" formatCode="@"/>
      <fill>
        <patternFill patternType="none">
          <fgColor theme="0" tint="-0.14999847407452621"/>
          <bgColor auto="1"/>
        </patternFill>
      </fill>
      <alignment horizontal="left" vertical="top" textRotation="0" wrapText="1" indent="0" justifyLastLine="0" shrinkToFit="0" readingOrder="0"/>
      <protection locked="1" hidden="0"/>
    </dxf>
    <dxf>
      <border outline="0">
        <left style="medium">
          <color indexed="64"/>
        </left>
        <right style="medium">
          <color indexed="64"/>
        </right>
        <top style="medium">
          <color indexed="64"/>
        </top>
      </border>
    </dxf>
    <dxf>
      <fill>
        <patternFill patternType="none">
          <bgColor auto="1"/>
        </patternFill>
      </fill>
      <protection locked="1" hidden="0"/>
    </dxf>
    <dxf>
      <border outline="0">
        <bottom style="thin">
          <color theme="1"/>
        </bottom>
      </border>
    </dxf>
    <dxf>
      <alignment horizontal="left" vertical="top" textRotation="0" wrapText="1" indent="0" justifyLastLine="0" shrinkToFit="0" readingOrder="0"/>
      <protection locked="1" hidden="0"/>
    </dxf>
    <dxf>
      <font>
        <b/>
        <i val="0"/>
        <strike val="0"/>
        <condense val="0"/>
        <extend val="0"/>
        <outline val="0"/>
        <shadow val="0"/>
        <u val="none"/>
        <vertAlign val="baseline"/>
        <sz val="9"/>
        <color rgb="FFFF0000"/>
        <name val="Verdana"/>
        <scheme val="none"/>
      </font>
      <numFmt numFmtId="0" formatCode="General"/>
      <fill>
        <patternFill patternType="none">
          <fgColor indexed="64"/>
          <bgColor indexed="65"/>
        </patternFill>
      </fill>
      <alignment horizontal="left" vertical="bottom" textRotation="0" wrapText="0" indent="0" justifyLastLine="0" shrinkToFit="0" readingOrder="0"/>
      <protection locked="1" hidden="0"/>
    </dxf>
    <dxf>
      <font>
        <b/>
        <i val="0"/>
        <strike val="0"/>
        <condense val="0"/>
        <extend val="0"/>
        <outline val="0"/>
        <shadow val="0"/>
        <u val="none"/>
        <vertAlign val="baseline"/>
        <sz val="9"/>
        <color rgb="FFFF0000"/>
        <name val="Verdana"/>
        <scheme val="none"/>
      </font>
      <numFmt numFmtId="30" formatCode="@"/>
      <fill>
        <patternFill patternType="none">
          <fgColor indexed="64"/>
          <bgColor indexed="65"/>
        </patternFill>
      </fill>
      <alignment horizontal="general" vertical="bottom" textRotation="0" wrapText="0" indent="0" justifyLastLine="0" shrinkToFit="0" readingOrder="0"/>
      <protection locked="1" hidden="0"/>
    </dxf>
    <dxf>
      <border diagonalUp="0" diagonalDown="0">
        <left style="medium">
          <color rgb="FF000000"/>
        </left>
        <right style="medium">
          <color rgb="FF000000"/>
        </right>
        <top style="medium">
          <color rgb="FF000000"/>
        </top>
        <bottom style="medium">
          <color rgb="FF000000"/>
        </bottom>
      </border>
    </dxf>
    <dxf>
      <protection locked="1" hidden="0"/>
    </dxf>
    <dxf>
      <font>
        <b/>
        <i val="0"/>
        <strike val="0"/>
        <condense val="0"/>
        <extend val="0"/>
        <outline val="0"/>
        <shadow val="0"/>
        <u val="none"/>
        <vertAlign val="baseline"/>
        <sz val="9"/>
        <color theme="0"/>
        <name val="Verdana"/>
        <scheme val="none"/>
      </font>
      <fill>
        <patternFill patternType="solid">
          <fgColor indexed="64"/>
          <bgColor rgb="FFFF0000"/>
        </patternFill>
      </fill>
      <alignment horizontal="left" vertical="center" textRotation="0" wrapText="0" indent="0" justifyLastLine="0" shrinkToFit="0" readingOrder="0"/>
      <protection locked="1" hidden="0"/>
    </dxf>
    <dxf>
      <font>
        <b/>
        <i val="0"/>
        <strike val="0"/>
        <condense val="0"/>
        <extend val="0"/>
        <outline val="0"/>
        <shadow val="0"/>
        <u val="none"/>
        <vertAlign val="baseline"/>
        <sz val="9"/>
        <color rgb="FFFF0000"/>
        <name val="Verdana"/>
        <scheme val="none"/>
      </font>
      <numFmt numFmtId="0" formatCode="General"/>
      <fill>
        <patternFill patternType="none">
          <fgColor indexed="64"/>
          <bgColor indexed="65"/>
        </patternFill>
      </fill>
      <alignment horizontal="center" vertical="bottom" textRotation="0" wrapText="0" indent="0" justifyLastLine="0" shrinkToFit="0" readingOrder="0"/>
      <protection locked="1" hidden="0"/>
    </dxf>
    <dxf>
      <font>
        <b/>
        <i val="0"/>
        <strike val="0"/>
        <condense val="0"/>
        <extend val="0"/>
        <outline val="0"/>
        <shadow val="0"/>
        <u val="none"/>
        <vertAlign val="baseline"/>
        <sz val="9"/>
        <color rgb="FFFF0000"/>
        <name val="Verdana"/>
        <scheme val="none"/>
      </font>
      <numFmt numFmtId="30" formatCode="@"/>
      <fill>
        <patternFill patternType="none">
          <fgColor indexed="64"/>
          <bgColor indexed="65"/>
        </patternFill>
      </fill>
      <alignment horizontal="general" vertical="bottom" textRotation="0" wrapText="0" indent="0" justifyLastLine="0" shrinkToFit="0" readingOrder="0"/>
      <protection locked="1" hidden="0"/>
    </dxf>
    <dxf>
      <border diagonalUp="0" diagonalDown="0">
        <left style="medium">
          <color indexed="64"/>
        </left>
        <right style="medium">
          <color indexed="64"/>
        </right>
        <top style="medium">
          <color indexed="64"/>
        </top>
        <bottom style="medium">
          <color indexed="64"/>
        </bottom>
      </border>
    </dxf>
    <dxf>
      <protection locked="1" hidden="0"/>
    </dxf>
    <dxf>
      <font>
        <b/>
        <i val="0"/>
        <strike val="0"/>
        <condense val="0"/>
        <extend val="0"/>
        <outline val="0"/>
        <shadow val="0"/>
        <u val="none"/>
        <vertAlign val="baseline"/>
        <sz val="9"/>
        <color theme="0"/>
        <name val="Verdana"/>
        <scheme val="none"/>
      </font>
      <fill>
        <patternFill patternType="solid">
          <fgColor indexed="64"/>
          <bgColor rgb="FFFF0000"/>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9"/>
        <color rgb="FFFF0000"/>
        <name val="Verdana"/>
        <scheme val="none"/>
      </font>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9"/>
        <color rgb="FFFF0000"/>
        <name val="Verdana"/>
        <scheme val="none"/>
      </font>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9"/>
        <color rgb="FFFF0000"/>
        <name val="Verdana"/>
        <scheme val="none"/>
      </font>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9"/>
        <color rgb="FFFF0000"/>
        <name val="Verdana"/>
        <scheme val="none"/>
      </font>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9"/>
        <color rgb="FFFF0000"/>
        <name val="Verdana"/>
        <scheme val="none"/>
      </font>
      <fill>
        <patternFill patternType="none">
          <fgColor indexed="64"/>
          <bgColor indexed="65"/>
        </patternFill>
      </fill>
      <alignment horizontal="center" vertical="bottom" textRotation="0" wrapText="0" indent="0" justifyLastLine="0" shrinkToFit="0" readingOrder="0"/>
      <protection locked="1" hidden="0"/>
    </dxf>
    <dxf>
      <font>
        <b/>
        <i val="0"/>
        <strike val="0"/>
        <condense val="0"/>
        <extend val="0"/>
        <outline val="0"/>
        <shadow val="0"/>
        <u val="none"/>
        <vertAlign val="baseline"/>
        <sz val="9"/>
        <color rgb="FFFF0000"/>
        <name val="Verdana"/>
        <scheme val="none"/>
      </font>
      <fill>
        <patternFill patternType="none">
          <fgColor indexed="64"/>
          <bgColor indexed="65"/>
        </patternFill>
      </fill>
      <alignment horizontal="general" vertical="bottom" textRotation="0" wrapText="0" indent="0" justifyLastLine="0" shrinkToFit="0" readingOrder="0"/>
      <protection locked="1" hidden="0"/>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9"/>
        <color rgb="FFFF0000"/>
        <name val="Verdana"/>
        <scheme val="none"/>
      </font>
      <fill>
        <patternFill patternType="none">
          <fgColor indexed="64"/>
          <bgColor indexed="65"/>
        </patternFill>
      </fill>
      <alignment horizontal="general" vertical="bottom" textRotation="0" wrapText="0" indent="0" justifyLastLine="0" shrinkToFit="0" readingOrder="0"/>
      <protection locked="1" hidden="0"/>
    </dxf>
    <dxf>
      <font>
        <b/>
        <i val="0"/>
        <strike val="0"/>
        <condense val="0"/>
        <extend val="0"/>
        <outline val="0"/>
        <shadow val="0"/>
        <u val="none"/>
        <vertAlign val="baseline"/>
        <sz val="9"/>
        <color theme="0"/>
        <name val="Verdana"/>
        <scheme val="none"/>
      </font>
      <fill>
        <patternFill patternType="solid">
          <fgColor indexed="64"/>
          <bgColor rgb="FFFF0000"/>
        </patternFill>
      </fill>
      <alignment horizontal="left" vertical="center" textRotation="0" wrapText="0" indent="0" justifyLastLine="0" shrinkToFit="0" readingOrder="0"/>
      <protection locked="1" hidden="0"/>
    </dxf>
    <dxf>
      <font>
        <b/>
        <i val="0"/>
      </font>
      <fill>
        <patternFill patternType="solid">
          <fgColor rgb="FFFDECE3"/>
          <bgColor rgb="FFFCEFE0"/>
        </patternFill>
      </fill>
    </dxf>
    <dxf>
      <font>
        <b/>
        <i val="0"/>
        <color auto="1"/>
      </font>
      <fill>
        <patternFill>
          <bgColor rgb="FF00B050"/>
        </patternFill>
      </fill>
    </dxf>
    <dxf>
      <font>
        <b/>
        <i val="0"/>
      </font>
      <fill>
        <patternFill>
          <bgColor rgb="FF92D050"/>
        </patternFill>
      </fill>
    </dxf>
    <dxf>
      <font>
        <b/>
        <i val="0"/>
      </font>
      <fill>
        <patternFill>
          <bgColor rgb="FFFFC000"/>
        </patternFill>
      </fill>
    </dxf>
    <dxf>
      <font>
        <b/>
        <i val="0"/>
      </font>
      <fill>
        <patternFill>
          <bgColor rgb="FFFF0000"/>
        </patternFill>
      </fill>
    </dxf>
    <dxf>
      <fill>
        <patternFill>
          <bgColor rgb="FFFDECE3"/>
        </patternFill>
      </fill>
    </dxf>
    <dxf>
      <fill>
        <patternFill>
          <bgColor rgb="FFE7F3FF"/>
        </patternFill>
      </fill>
    </dxf>
    <dxf>
      <fill>
        <patternFill>
          <bgColor theme="2" tint="0.79998168889431442"/>
        </patternFill>
      </fill>
    </dxf>
    <dxf>
      <fill>
        <patternFill>
          <bgColor theme="2" tint="0.59996337778862885"/>
        </patternFill>
      </fill>
    </dxf>
    <dxf>
      <fill>
        <patternFill>
          <bgColor rgb="FFFDECE3"/>
        </patternFill>
      </fill>
    </dxf>
    <dxf>
      <fill>
        <patternFill>
          <bgColor rgb="FFE7F3FF"/>
        </patternFill>
      </fill>
    </dxf>
    <dxf>
      <fill>
        <patternFill>
          <bgColor theme="2" tint="0.79998168889431442"/>
        </patternFill>
      </fill>
    </dxf>
    <dxf>
      <fill>
        <patternFill>
          <bgColor theme="2" tint="0.59996337778862885"/>
        </patternFill>
      </fill>
    </dxf>
    <dxf>
      <fill>
        <patternFill>
          <bgColor rgb="FFFDECE3"/>
        </patternFill>
      </fill>
    </dxf>
    <dxf>
      <fill>
        <patternFill>
          <bgColor rgb="FFE7F3FF"/>
        </patternFill>
      </fill>
    </dxf>
    <dxf>
      <fill>
        <patternFill>
          <bgColor theme="2" tint="0.79998168889431442"/>
        </patternFill>
      </fill>
    </dxf>
    <dxf>
      <fill>
        <patternFill>
          <bgColor theme="2" tint="0.59996337778862885"/>
        </patternFill>
      </fill>
    </dxf>
    <dxf>
      <fill>
        <patternFill>
          <bgColor rgb="FFFDECE3"/>
        </patternFill>
      </fill>
    </dxf>
    <dxf>
      <fill>
        <patternFill>
          <bgColor rgb="FFE7F3FF"/>
        </patternFill>
      </fill>
    </dxf>
    <dxf>
      <fill>
        <patternFill>
          <bgColor theme="2" tint="0.79998168889431442"/>
        </patternFill>
      </fill>
    </dxf>
    <dxf>
      <fill>
        <patternFill>
          <bgColor theme="2" tint="0.59996337778862885"/>
        </patternFill>
      </fill>
    </dxf>
    <dxf>
      <fill>
        <patternFill>
          <bgColor rgb="FFFDECE3"/>
        </patternFill>
      </fill>
    </dxf>
    <dxf>
      <fill>
        <patternFill>
          <bgColor rgb="FFE7F3FF"/>
        </patternFill>
      </fill>
    </dxf>
    <dxf>
      <fill>
        <patternFill>
          <bgColor rgb="FFFDECE3"/>
        </patternFill>
      </fill>
    </dxf>
    <dxf>
      <fill>
        <patternFill>
          <bgColor rgb="FFE7F3FF"/>
        </patternFill>
      </fill>
    </dxf>
    <dxf>
      <fill>
        <patternFill>
          <bgColor rgb="FFFDECE3"/>
        </patternFill>
      </fill>
    </dxf>
    <dxf>
      <fill>
        <patternFill>
          <bgColor rgb="FFE7F3FF"/>
        </patternFill>
      </fill>
    </dxf>
    <dxf>
      <fill>
        <patternFill>
          <bgColor rgb="FFFDECE3"/>
        </patternFill>
      </fill>
    </dxf>
    <dxf>
      <fill>
        <patternFill>
          <bgColor rgb="FFE7F3FF"/>
        </patternFill>
      </fill>
    </dxf>
    <dxf>
      <fill>
        <patternFill>
          <bgColor rgb="FFFDECE3"/>
        </patternFill>
      </fill>
    </dxf>
    <dxf>
      <fill>
        <patternFill>
          <bgColor rgb="FFE7F3FF"/>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
      <fill>
        <patternFill>
          <bgColor rgb="FFFDECE3"/>
        </patternFill>
      </fill>
    </dxf>
  </dxfs>
  <tableStyles count="0" defaultTableStyle="TableStyleMedium9" defaultPivotStyle="PivotStyleLight16"/>
  <colors>
    <mruColors>
      <color rgb="FFFFFFCC"/>
      <color rgb="FFFDECE3"/>
      <color rgb="FFD6E4F2"/>
      <color rgb="FFFFD85B"/>
      <color rgb="FFFCEFE0"/>
      <color rgb="FF0058B1"/>
      <color rgb="FFFFFFCD"/>
      <color rgb="FFFFCC66"/>
      <color rgb="FF80ACD8"/>
      <color rgb="FFE7F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1.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2.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3.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4.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5.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7.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8.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9.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1.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2.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3.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4.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5.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6.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7.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8.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9.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31.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7.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8.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0229915333354276E-2"/>
          <c:y val="1.4807504769882048E-2"/>
          <c:w val="0.98651699892340461"/>
          <c:h val="0.85603630846807399"/>
        </c:manualLayout>
      </c:layout>
      <c:barChart>
        <c:barDir val="col"/>
        <c:grouping val="stacked"/>
        <c:varyColors val="0"/>
        <c:ser>
          <c:idx val="3"/>
          <c:order val="0"/>
          <c:tx>
            <c:strRef>
              <c:f>NISTmap!$P$5</c:f>
              <c:strCache>
                <c:ptCount val="1"/>
                <c:pt idx="0">
                  <c:v>MIL0</c:v>
                </c:pt>
              </c:strCache>
            </c:strRef>
          </c:tx>
          <c:spPr>
            <a:solidFill>
              <a:srgbClr val="FDECE3"/>
            </a:solidFill>
            <a:ln>
              <a:noFill/>
            </a:ln>
            <a:effectLst/>
          </c:spPr>
          <c:invertIfNegative val="0"/>
          <c:cat>
            <c:strRef>
              <c:f>NISTmap!$J$6:$N$6</c:f>
              <c:strCache>
                <c:ptCount val="5"/>
                <c:pt idx="0">
                  <c:v>Tunnistaminen</c:v>
                </c:pt>
                <c:pt idx="1">
                  <c:v>Suojautuminen</c:v>
                </c:pt>
                <c:pt idx="2">
                  <c:v>Havainnointi</c:v>
                </c:pt>
                <c:pt idx="3">
                  <c:v>Reagointi</c:v>
                </c:pt>
                <c:pt idx="4">
                  <c:v>Palautuminen</c:v>
                </c:pt>
              </c:strCache>
            </c:strRef>
          </c:cat>
          <c:val>
            <c:numRef>
              <c:f>NISTmap!$P$6:$P$10</c:f>
              <c:numCache>
                <c:formatCode>General</c:formatCode>
                <c:ptCount val="5"/>
                <c:pt idx="0">
                  <c:v>0.3</c:v>
                </c:pt>
                <c:pt idx="1">
                  <c:v>0.3</c:v>
                </c:pt>
                <c:pt idx="2">
                  <c:v>0.3</c:v>
                </c:pt>
                <c:pt idx="3">
                  <c:v>0.3</c:v>
                </c:pt>
                <c:pt idx="4">
                  <c:v>0.3</c:v>
                </c:pt>
              </c:numCache>
            </c:numRef>
          </c:val>
          <c:extLst>
            <c:ext xmlns:c16="http://schemas.microsoft.com/office/drawing/2014/chart" uri="{C3380CC4-5D6E-409C-BE32-E72D297353CC}">
              <c16:uniqueId val="{00000000-0DEC-45F3-881F-4320B14E4B19}"/>
            </c:ext>
          </c:extLst>
        </c:ser>
        <c:ser>
          <c:idx val="4"/>
          <c:order val="1"/>
          <c:tx>
            <c:strRef>
              <c:f>NISTmap!$Q$5</c:f>
              <c:strCache>
                <c:ptCount val="1"/>
                <c:pt idx="0">
                  <c:v>MIL1</c:v>
                </c:pt>
              </c:strCache>
            </c:strRef>
          </c:tx>
          <c:spPr>
            <a:solidFill>
              <a:srgbClr val="E7F3FF"/>
            </a:solidFill>
            <a:ln>
              <a:noFill/>
            </a:ln>
            <a:effectLst/>
          </c:spPr>
          <c:invertIfNegative val="0"/>
          <c:cat>
            <c:strRef>
              <c:f>NISTmap!$J$6:$N$6</c:f>
              <c:strCache>
                <c:ptCount val="5"/>
                <c:pt idx="0">
                  <c:v>Tunnistaminen</c:v>
                </c:pt>
                <c:pt idx="1">
                  <c:v>Suojautuminen</c:v>
                </c:pt>
                <c:pt idx="2">
                  <c:v>Havainnointi</c:v>
                </c:pt>
                <c:pt idx="3">
                  <c:v>Reagointi</c:v>
                </c:pt>
                <c:pt idx="4">
                  <c:v>Palautuminen</c:v>
                </c:pt>
              </c:strCache>
            </c:strRef>
          </c:cat>
          <c:val>
            <c:numRef>
              <c:f>NISTmap!$Q$6:$Q$10</c:f>
              <c:numCache>
                <c:formatCode>General</c:formatCode>
                <c:ptCount val="5"/>
                <c:pt idx="0">
                  <c:v>0.3</c:v>
                </c:pt>
                <c:pt idx="1">
                  <c:v>0.3</c:v>
                </c:pt>
                <c:pt idx="2">
                  <c:v>0.3</c:v>
                </c:pt>
                <c:pt idx="3">
                  <c:v>0.3</c:v>
                </c:pt>
                <c:pt idx="4">
                  <c:v>0.3</c:v>
                </c:pt>
              </c:numCache>
            </c:numRef>
          </c:val>
          <c:extLst>
            <c:ext xmlns:c16="http://schemas.microsoft.com/office/drawing/2014/chart" uri="{C3380CC4-5D6E-409C-BE32-E72D297353CC}">
              <c16:uniqueId val="{00000001-0DEC-45F3-881F-4320B14E4B19}"/>
            </c:ext>
          </c:extLst>
        </c:ser>
        <c:ser>
          <c:idx val="5"/>
          <c:order val="2"/>
          <c:tx>
            <c:strRef>
              <c:f>NISTmap!$R$5</c:f>
              <c:strCache>
                <c:ptCount val="1"/>
                <c:pt idx="0">
                  <c:v>MIl2</c:v>
                </c:pt>
              </c:strCache>
            </c:strRef>
          </c:tx>
          <c:spPr>
            <a:solidFill>
              <a:schemeClr val="bg2">
                <a:lumMod val="20000"/>
                <a:lumOff val="80000"/>
              </a:schemeClr>
            </a:solidFill>
            <a:ln>
              <a:noFill/>
            </a:ln>
            <a:effectLst/>
          </c:spPr>
          <c:invertIfNegative val="0"/>
          <c:cat>
            <c:strRef>
              <c:f>NISTmap!$J$6:$N$6</c:f>
              <c:strCache>
                <c:ptCount val="5"/>
                <c:pt idx="0">
                  <c:v>Tunnistaminen</c:v>
                </c:pt>
                <c:pt idx="1">
                  <c:v>Suojautuminen</c:v>
                </c:pt>
                <c:pt idx="2">
                  <c:v>Havainnointi</c:v>
                </c:pt>
                <c:pt idx="3">
                  <c:v>Reagointi</c:v>
                </c:pt>
                <c:pt idx="4">
                  <c:v>Palautuminen</c:v>
                </c:pt>
              </c:strCache>
            </c:strRef>
          </c:cat>
          <c:val>
            <c:numRef>
              <c:f>NISTmap!$R$6:$R$10</c:f>
              <c:numCache>
                <c:formatCode>General</c:formatCode>
                <c:ptCount val="5"/>
                <c:pt idx="0">
                  <c:v>0.3</c:v>
                </c:pt>
                <c:pt idx="1">
                  <c:v>0.3</c:v>
                </c:pt>
                <c:pt idx="2">
                  <c:v>0.3</c:v>
                </c:pt>
                <c:pt idx="3">
                  <c:v>0.3</c:v>
                </c:pt>
                <c:pt idx="4">
                  <c:v>0.3</c:v>
                </c:pt>
              </c:numCache>
            </c:numRef>
          </c:val>
          <c:extLst>
            <c:ext xmlns:c16="http://schemas.microsoft.com/office/drawing/2014/chart" uri="{C3380CC4-5D6E-409C-BE32-E72D297353CC}">
              <c16:uniqueId val="{00000002-0DEC-45F3-881F-4320B14E4B19}"/>
            </c:ext>
          </c:extLst>
        </c:ser>
        <c:ser>
          <c:idx val="6"/>
          <c:order val="3"/>
          <c:tx>
            <c:strRef>
              <c:f>NISTmap!$S$5</c:f>
              <c:strCache>
                <c:ptCount val="1"/>
                <c:pt idx="0">
                  <c:v>MIL3</c:v>
                </c:pt>
              </c:strCache>
            </c:strRef>
          </c:tx>
          <c:spPr>
            <a:solidFill>
              <a:schemeClr val="bg2">
                <a:lumMod val="40000"/>
                <a:lumOff val="60000"/>
              </a:schemeClr>
            </a:solidFill>
            <a:ln>
              <a:noFill/>
            </a:ln>
            <a:effectLst/>
          </c:spPr>
          <c:invertIfNegative val="0"/>
          <c:cat>
            <c:strRef>
              <c:f>NISTmap!$J$6:$N$6</c:f>
              <c:strCache>
                <c:ptCount val="5"/>
                <c:pt idx="0">
                  <c:v>Tunnistaminen</c:v>
                </c:pt>
                <c:pt idx="1">
                  <c:v>Suojautuminen</c:v>
                </c:pt>
                <c:pt idx="2">
                  <c:v>Havainnointi</c:v>
                </c:pt>
                <c:pt idx="3">
                  <c:v>Reagointi</c:v>
                </c:pt>
                <c:pt idx="4">
                  <c:v>Palautuminen</c:v>
                </c:pt>
              </c:strCache>
            </c:strRef>
          </c:cat>
          <c:val>
            <c:numRef>
              <c:f>NISTmap!$S$6:$S$10</c:f>
              <c:numCache>
                <c:formatCode>General</c:formatCode>
                <c:ptCount val="5"/>
                <c:pt idx="0">
                  <c:v>0.1</c:v>
                </c:pt>
                <c:pt idx="1">
                  <c:v>0.1</c:v>
                </c:pt>
                <c:pt idx="2">
                  <c:v>0.1</c:v>
                </c:pt>
                <c:pt idx="3">
                  <c:v>0.1</c:v>
                </c:pt>
                <c:pt idx="4">
                  <c:v>0.1</c:v>
                </c:pt>
              </c:numCache>
            </c:numRef>
          </c:val>
          <c:extLst>
            <c:ext xmlns:c16="http://schemas.microsoft.com/office/drawing/2014/chart" uri="{C3380CC4-5D6E-409C-BE32-E72D297353CC}">
              <c16:uniqueId val="{00000003-0DEC-45F3-881F-4320B14E4B19}"/>
            </c:ext>
          </c:extLst>
        </c:ser>
        <c:dLbls>
          <c:showLegendKey val="0"/>
          <c:showVal val="0"/>
          <c:showCatName val="0"/>
          <c:showSerName val="0"/>
          <c:showPercent val="0"/>
          <c:showBubbleSize val="0"/>
        </c:dLbls>
        <c:gapWidth val="0"/>
        <c:overlap val="100"/>
        <c:axId val="1856652208"/>
        <c:axId val="1856653456"/>
      </c:barChart>
      <c:barChart>
        <c:barDir val="col"/>
        <c:grouping val="clustered"/>
        <c:varyColors val="0"/>
        <c:ser>
          <c:idx val="0"/>
          <c:order val="4"/>
          <c:tx>
            <c:strRef>
              <c:f>NISTmap!$I$10</c:f>
              <c:strCache>
                <c:ptCount val="1"/>
                <c:pt idx="0">
                  <c:v>Viiteryhmä</c:v>
                </c:pt>
              </c:strCache>
            </c:strRef>
          </c:tx>
          <c:spPr>
            <a:solidFill>
              <a:schemeClr val="bg1">
                <a:lumMod val="75000"/>
              </a:schemeClr>
            </a:solidFill>
            <a:ln w="9525">
              <a:solidFill>
                <a:schemeClr val="tx1">
                  <a:lumMod val="50000"/>
                  <a:lumOff val="50000"/>
                </a:schemeClr>
              </a:solidFill>
            </a:ln>
            <a:effectLst/>
          </c:spPr>
          <c:invertIfNegative val="0"/>
          <c:dLbls>
            <c:spPr>
              <a:solidFill>
                <a:schemeClr val="bg1">
                  <a:lumMod val="75000"/>
                </a:schemeClr>
              </a:solidFill>
              <a:ln>
                <a:solidFill>
                  <a:schemeClr val="tx1">
                    <a:lumMod val="50000"/>
                    <a:lumOff val="50000"/>
                  </a:schemeClr>
                </a:solidFill>
              </a:ln>
              <a:effectLst/>
            </c:spPr>
            <c:txPr>
              <a:bodyPr rot="0" spcFirstLastPara="1" vertOverflow="ellipsis" vert="horz" wrap="square" lIns="38100" tIns="19050" rIns="38100" bIns="19050" anchor="ctr" anchorCtr="1">
                <a:spAutoFit/>
              </a:bodyPr>
              <a:lstStyle/>
              <a:p>
                <a:pPr>
                  <a:defRPr sz="900" b="0" i="0" u="none" strike="noStrike" baseline="0">
                    <a:solidFill>
                      <a:schemeClr val="tx1">
                        <a:lumMod val="75000"/>
                        <a:lumOff val="25000"/>
                      </a:schemeClr>
                    </a:solidFill>
                    <a:latin typeface="+mn-lt"/>
                    <a:ea typeface="+mn-ea"/>
                    <a:cs typeface="+mn-cs"/>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Data!$Q$3:$Q$13</c:f>
              <c:strCache>
                <c:ptCount val="11"/>
                <c:pt idx="0">
                  <c:v>CRITICAL</c:v>
                </c:pt>
                <c:pt idx="1">
                  <c:v>ASSET</c:v>
                </c:pt>
                <c:pt idx="2">
                  <c:v>THREAT</c:v>
                </c:pt>
                <c:pt idx="3">
                  <c:v>RISK</c:v>
                </c:pt>
                <c:pt idx="4">
                  <c:v>ACCESS</c:v>
                </c:pt>
                <c:pt idx="5">
                  <c:v>SITUATION</c:v>
                </c:pt>
                <c:pt idx="6">
                  <c:v>RESPONSE</c:v>
                </c:pt>
                <c:pt idx="7">
                  <c:v>THIRDPARTY</c:v>
                </c:pt>
                <c:pt idx="8">
                  <c:v>WORKFORCE</c:v>
                </c:pt>
                <c:pt idx="9">
                  <c:v>ARCHITECTURE</c:v>
                </c:pt>
                <c:pt idx="10">
                  <c:v>PROGRAM</c:v>
                </c:pt>
              </c:strCache>
            </c:strRef>
          </c:cat>
          <c:val>
            <c:numRef>
              <c:f>NISTmap!$J$10:$N$10</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4-0DEC-45F3-881F-4320B14E4B19}"/>
            </c:ext>
          </c:extLst>
        </c:ser>
        <c:ser>
          <c:idx val="1"/>
          <c:order val="5"/>
          <c:tx>
            <c:strRef>
              <c:f>NISTmap!$I$9</c:f>
              <c:strCache>
                <c:ptCount val="1"/>
                <c:pt idx="0">
                  <c:v>Edellinen</c:v>
                </c:pt>
              </c:strCache>
            </c:strRef>
          </c:tx>
          <c:spPr>
            <a:solidFill>
              <a:schemeClr val="bg2">
                <a:lumMod val="60000"/>
                <a:lumOff val="40000"/>
              </a:schemeClr>
            </a:solidFill>
            <a:ln w="15875">
              <a:solidFill>
                <a:schemeClr val="bg2">
                  <a:lumMod val="60000"/>
                  <a:lumOff val="40000"/>
                </a:schemeClr>
              </a:solidFill>
            </a:ln>
            <a:effectLst/>
          </c:spPr>
          <c:invertIfNegative val="0"/>
          <c:dLbls>
            <c:spPr>
              <a:solidFill>
                <a:schemeClr val="bg2">
                  <a:lumMod val="60000"/>
                  <a:lumOff val="40000"/>
                </a:schemeClr>
              </a:solidFill>
              <a:ln>
                <a:solidFill>
                  <a:schemeClr val="tx1">
                    <a:lumMod val="50000"/>
                    <a:lumOff val="50000"/>
                  </a:schemeClr>
                </a:solidFill>
              </a:ln>
              <a:effectLst/>
            </c:spPr>
            <c:txPr>
              <a:bodyPr rot="0" spcFirstLastPara="1" vertOverflow="ellipsis" vert="horz" wrap="square" lIns="38100" tIns="19050" rIns="38100" bIns="19050" anchor="ctr" anchorCtr="1">
                <a:spAutoFit/>
              </a:bodyPr>
              <a:lstStyle/>
              <a:p>
                <a:pPr>
                  <a:defRPr sz="900" b="0" i="0" u="none" strike="noStrike" baseline="0">
                    <a:solidFill>
                      <a:schemeClr val="tx1">
                        <a:lumMod val="75000"/>
                        <a:lumOff val="25000"/>
                      </a:schemeClr>
                    </a:solidFill>
                    <a:latin typeface="+mn-lt"/>
                    <a:ea typeface="+mn-ea"/>
                    <a:cs typeface="+mn-cs"/>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Data!$Q$3:$Q$13</c:f>
              <c:strCache>
                <c:ptCount val="11"/>
                <c:pt idx="0">
                  <c:v>CRITICAL</c:v>
                </c:pt>
                <c:pt idx="1">
                  <c:v>ASSET</c:v>
                </c:pt>
                <c:pt idx="2">
                  <c:v>THREAT</c:v>
                </c:pt>
                <c:pt idx="3">
                  <c:v>RISK</c:v>
                </c:pt>
                <c:pt idx="4">
                  <c:v>ACCESS</c:v>
                </c:pt>
                <c:pt idx="5">
                  <c:v>SITUATION</c:v>
                </c:pt>
                <c:pt idx="6">
                  <c:v>RESPONSE</c:v>
                </c:pt>
                <c:pt idx="7">
                  <c:v>THIRDPARTY</c:v>
                </c:pt>
                <c:pt idx="8">
                  <c:v>WORKFORCE</c:v>
                </c:pt>
                <c:pt idx="9">
                  <c:v>ARCHITECTURE</c:v>
                </c:pt>
                <c:pt idx="10">
                  <c:v>PROGRAM</c:v>
                </c:pt>
              </c:strCache>
            </c:strRef>
          </c:cat>
          <c:val>
            <c:numRef>
              <c:f>NISTmap!$J$9:$N$9</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5-0DEC-45F3-881F-4320B14E4B19}"/>
            </c:ext>
          </c:extLst>
        </c:ser>
        <c:ser>
          <c:idx val="2"/>
          <c:order val="6"/>
          <c:tx>
            <c:strRef>
              <c:f>NISTmap!$I$7</c:f>
              <c:strCache>
                <c:ptCount val="1"/>
                <c:pt idx="0">
                  <c:v>Kyberturvallisuuden nykytila</c:v>
                </c:pt>
              </c:strCache>
            </c:strRef>
          </c:tx>
          <c:spPr>
            <a:solidFill>
              <a:srgbClr val="0058B1">
                <a:alpha val="89000"/>
              </a:srgbClr>
            </a:solidFill>
            <a:ln w="15875">
              <a:solidFill>
                <a:schemeClr val="bg2">
                  <a:lumMod val="75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baseline="0">
                    <a:solidFill>
                      <a:schemeClr val="bg1"/>
                    </a:solidFill>
                    <a:latin typeface="+mn-lt"/>
                    <a:ea typeface="+mn-ea"/>
                    <a:cs typeface="+mn-cs"/>
                  </a:defRPr>
                </a:pPr>
                <a:endParaRPr lang="fi-FI"/>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Data!$Q$3:$Q$13</c:f>
              <c:strCache>
                <c:ptCount val="11"/>
                <c:pt idx="0">
                  <c:v>CRITICAL</c:v>
                </c:pt>
                <c:pt idx="1">
                  <c:v>ASSET</c:v>
                </c:pt>
                <c:pt idx="2">
                  <c:v>THREAT</c:v>
                </c:pt>
                <c:pt idx="3">
                  <c:v>RISK</c:v>
                </c:pt>
                <c:pt idx="4">
                  <c:v>ACCESS</c:v>
                </c:pt>
                <c:pt idx="5">
                  <c:v>SITUATION</c:v>
                </c:pt>
                <c:pt idx="6">
                  <c:v>RESPONSE</c:v>
                </c:pt>
                <c:pt idx="7">
                  <c:v>THIRDPARTY</c:v>
                </c:pt>
                <c:pt idx="8">
                  <c:v>WORKFORCE</c:v>
                </c:pt>
                <c:pt idx="9">
                  <c:v>ARCHITECTURE</c:v>
                </c:pt>
                <c:pt idx="10">
                  <c:v>PROGRAM</c:v>
                </c:pt>
              </c:strCache>
            </c:strRef>
          </c:cat>
          <c:val>
            <c:numRef>
              <c:f>NISTmap!$J$7:$N$7</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6-0DEC-45F3-881F-4320B14E4B19}"/>
            </c:ext>
          </c:extLst>
        </c:ser>
        <c:dLbls>
          <c:showLegendKey val="0"/>
          <c:showVal val="0"/>
          <c:showCatName val="0"/>
          <c:showSerName val="0"/>
          <c:showPercent val="0"/>
          <c:showBubbleSize val="0"/>
        </c:dLbls>
        <c:gapWidth val="65"/>
        <c:overlap val="65"/>
        <c:axId val="257075768"/>
        <c:axId val="329287672"/>
      </c:barChart>
      <c:catAx>
        <c:axId val="185665220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baseline="0">
                <a:solidFill>
                  <a:srgbClr val="0058B1"/>
                </a:solidFill>
                <a:latin typeface="+mn-lt"/>
                <a:ea typeface="+mn-ea"/>
                <a:cs typeface="+mn-cs"/>
              </a:defRPr>
            </a:pPr>
            <a:endParaRPr lang="fi-FI"/>
          </a:p>
        </c:txPr>
        <c:crossAx val="1856653456"/>
        <c:crossesAt val="0"/>
        <c:auto val="1"/>
        <c:lblAlgn val="ctr"/>
        <c:lblOffset val="100"/>
        <c:noMultiLvlLbl val="0"/>
      </c:catAx>
      <c:valAx>
        <c:axId val="1856653456"/>
        <c:scaling>
          <c:orientation val="minMax"/>
          <c:max val="1"/>
          <c:min val="0"/>
        </c:scaling>
        <c:delete val="1"/>
        <c:axPos val="l"/>
        <c:numFmt formatCode="General" sourceLinked="1"/>
        <c:majorTickMark val="out"/>
        <c:minorTickMark val="none"/>
        <c:tickLblPos val="nextTo"/>
        <c:crossAx val="1856652208"/>
        <c:crosses val="autoZero"/>
        <c:crossBetween val="between"/>
        <c:majorUnit val="1"/>
      </c:valAx>
      <c:valAx>
        <c:axId val="329287672"/>
        <c:scaling>
          <c:orientation val="minMax"/>
          <c:max val="3.2"/>
          <c:min val="0"/>
        </c:scaling>
        <c:delete val="1"/>
        <c:axPos val="l"/>
        <c:numFmt formatCode="0%" sourceLinked="1"/>
        <c:majorTickMark val="out"/>
        <c:minorTickMark val="none"/>
        <c:tickLblPos val="nextTo"/>
        <c:crossAx val="257075768"/>
        <c:crosses val="autoZero"/>
        <c:crossBetween val="between"/>
        <c:majorUnit val="1"/>
      </c:valAx>
      <c:catAx>
        <c:axId val="257075768"/>
        <c:scaling>
          <c:orientation val="minMax"/>
        </c:scaling>
        <c:delete val="1"/>
        <c:axPos val="b"/>
        <c:numFmt formatCode="General" sourceLinked="1"/>
        <c:majorTickMark val="out"/>
        <c:minorTickMark val="none"/>
        <c:tickLblPos val="nextTo"/>
        <c:crossAx val="329287672"/>
        <c:crosses val="autoZero"/>
        <c:auto val="1"/>
        <c:lblAlgn val="ctr"/>
        <c:lblOffset val="100"/>
        <c:noMultiLvlLbl val="0"/>
      </c:catAx>
      <c:spPr>
        <a:noFill/>
        <a:ln w="25400">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47625" cap="flat" cmpd="sng" algn="ctr">
      <a:noFill/>
      <a:round/>
    </a:ln>
    <a:effectLst/>
  </c:spPr>
  <c:txPr>
    <a:bodyPr/>
    <a:lstStyle/>
    <a:p>
      <a:pPr>
        <a:defRPr/>
      </a:pPr>
      <a:endParaRPr lang="fi-FI"/>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'R7'!$U$38</c:f>
          <c:strCache>
            <c:ptCount val="1"/>
            <c:pt idx="0">
              <c:v>4</c:v>
            </c:pt>
          </c:strCache>
        </c:strRef>
      </c:tx>
      <c:layout>
        <c:manualLayout>
          <c:xMode val="edge"/>
          <c:yMode val="edge"/>
          <c:x val="0.4553388888888889"/>
          <c:y val="0.42495347222222224"/>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fi-FI"/>
        </a:p>
      </c:txPr>
    </c:title>
    <c:autoTitleDeleted val="0"/>
    <c:plotArea>
      <c:layout>
        <c:manualLayout>
          <c:layoutTarget val="inner"/>
          <c:xMode val="edge"/>
          <c:yMode val="edge"/>
          <c:x val="5.1423611111111114E-2"/>
          <c:y val="4.0890972222222224E-2"/>
          <c:w val="0.94501033628999298"/>
          <c:h val="0.96979218540657131"/>
        </c:manualLayout>
      </c:layout>
      <c:doughnutChart>
        <c:varyColors val="1"/>
        <c:ser>
          <c:idx val="0"/>
          <c:order val="0"/>
          <c:dPt>
            <c:idx val="0"/>
            <c:bubble3D val="0"/>
            <c:spPr>
              <a:solidFill>
                <a:srgbClr val="159637"/>
              </a:solidFill>
              <a:ln w="19050">
                <a:solidFill>
                  <a:schemeClr val="lt1"/>
                </a:solidFill>
              </a:ln>
              <a:effectLst/>
            </c:spPr>
            <c:extLst>
              <c:ext xmlns:c16="http://schemas.microsoft.com/office/drawing/2014/chart" uri="{C3380CC4-5D6E-409C-BE32-E72D297353CC}">
                <c16:uniqueId val="{00000001-82CF-4909-92F5-97DECF56800C}"/>
              </c:ext>
            </c:extLst>
          </c:dPt>
          <c:dPt>
            <c:idx val="1"/>
            <c:bubble3D val="0"/>
            <c:spPr>
              <a:solidFill>
                <a:srgbClr val="92D050"/>
              </a:solidFill>
              <a:ln w="19050">
                <a:solidFill>
                  <a:schemeClr val="lt1"/>
                </a:solidFill>
              </a:ln>
              <a:effectLst/>
            </c:spPr>
            <c:extLst>
              <c:ext xmlns:c16="http://schemas.microsoft.com/office/drawing/2014/chart" uri="{C3380CC4-5D6E-409C-BE32-E72D297353CC}">
                <c16:uniqueId val="{00000003-82CF-4909-92F5-97DECF56800C}"/>
              </c:ext>
            </c:extLst>
          </c:dPt>
          <c:dPt>
            <c:idx val="2"/>
            <c:bubble3D val="0"/>
            <c:spPr>
              <a:solidFill>
                <a:srgbClr val="FFC000"/>
              </a:solidFill>
              <a:ln w="19050">
                <a:solidFill>
                  <a:schemeClr val="lt1"/>
                </a:solidFill>
              </a:ln>
              <a:effectLst/>
            </c:spPr>
            <c:extLst>
              <c:ext xmlns:c16="http://schemas.microsoft.com/office/drawing/2014/chart" uri="{C3380CC4-5D6E-409C-BE32-E72D297353CC}">
                <c16:uniqueId val="{00000005-82CF-4909-92F5-97DECF56800C}"/>
              </c:ext>
            </c:extLst>
          </c:dPt>
          <c:dPt>
            <c:idx val="3"/>
            <c:bubble3D val="0"/>
            <c:spPr>
              <a:solidFill>
                <a:srgbClr val="FF0000"/>
              </a:solidFill>
              <a:ln w="19050">
                <a:solidFill>
                  <a:schemeClr val="lt1"/>
                </a:solidFill>
              </a:ln>
              <a:effectLst/>
            </c:spPr>
            <c:extLst>
              <c:ext xmlns:c16="http://schemas.microsoft.com/office/drawing/2014/chart" uri="{C3380CC4-5D6E-409C-BE32-E72D297353CC}">
                <c16:uniqueId val="{00000007-82CF-4909-92F5-97DECF56800C}"/>
              </c:ext>
            </c:extLst>
          </c:dPt>
          <c:dPt>
            <c:idx val="4"/>
            <c:bubble3D val="0"/>
            <c:spPr>
              <a:solidFill>
                <a:srgbClr val="FCEFE0"/>
              </a:solidFill>
              <a:ln w="19050">
                <a:solidFill>
                  <a:schemeClr val="lt1"/>
                </a:solidFill>
              </a:ln>
              <a:effectLst/>
            </c:spPr>
            <c:extLst>
              <c:ext xmlns:c16="http://schemas.microsoft.com/office/drawing/2014/chart" uri="{C3380CC4-5D6E-409C-BE32-E72D297353CC}">
                <c16:uniqueId val="{00000009-82CF-4909-92F5-97DECF56800C}"/>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fi-FI"/>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val>
            <c:numRef>
              <c:f>'R7'!$U$39:$U$43</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A-82CF-4909-92F5-97DECF56800C}"/>
            </c:ext>
          </c:extLst>
        </c:ser>
        <c:dLbls>
          <c:showLegendKey val="0"/>
          <c:showVal val="0"/>
          <c:showCatName val="0"/>
          <c:showSerName val="0"/>
          <c:showPercent val="0"/>
          <c:showBubbleSize val="0"/>
          <c:showLeaderLines val="1"/>
        </c:dLbls>
        <c:firstSliceAng val="0"/>
        <c:holeSize val="40"/>
      </c:doughnutChart>
    </c:plotArea>
    <c:plotVisOnly val="1"/>
    <c:dispBlanksAs val="gap"/>
    <c:showDLblsOverMax val="0"/>
  </c:chart>
  <c:spPr>
    <a:solidFill>
      <a:schemeClr val="bg1"/>
    </a:solidFill>
    <a:ln w="9525" cap="flat" cmpd="sng" algn="ctr">
      <a:noFill/>
      <a:round/>
    </a:ln>
    <a:effectLst/>
  </c:spPr>
  <c:txPr>
    <a:bodyPr/>
    <a:lstStyle/>
    <a:p>
      <a:pPr>
        <a:defRPr/>
      </a:pPr>
      <a:endParaRPr lang="fi-FI"/>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'R7'!$R$32</c:f>
          <c:strCache>
            <c:ptCount val="1"/>
            <c:pt idx="0">
              <c:v>12</c:v>
            </c:pt>
          </c:strCache>
        </c:strRef>
      </c:tx>
      <c:layout>
        <c:manualLayout>
          <c:xMode val="edge"/>
          <c:yMode val="edge"/>
          <c:x val="0.4183531645634132"/>
          <c:y val="0.42495347222222224"/>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fi-FI"/>
        </a:p>
      </c:txPr>
    </c:title>
    <c:autoTitleDeleted val="0"/>
    <c:plotArea>
      <c:layout>
        <c:manualLayout>
          <c:layoutTarget val="inner"/>
          <c:xMode val="edge"/>
          <c:yMode val="edge"/>
          <c:x val="5.1423611111111114E-2"/>
          <c:y val="4.0890972222222224E-2"/>
          <c:w val="0.94501033628999298"/>
          <c:h val="0.96979218540657131"/>
        </c:manualLayout>
      </c:layout>
      <c:doughnutChart>
        <c:varyColors val="1"/>
        <c:ser>
          <c:idx val="0"/>
          <c:order val="0"/>
          <c:dPt>
            <c:idx val="0"/>
            <c:bubble3D val="0"/>
            <c:spPr>
              <a:solidFill>
                <a:srgbClr val="159637"/>
              </a:solidFill>
              <a:ln w="19050">
                <a:solidFill>
                  <a:schemeClr val="lt1"/>
                </a:solidFill>
              </a:ln>
              <a:effectLst/>
            </c:spPr>
            <c:extLst>
              <c:ext xmlns:c16="http://schemas.microsoft.com/office/drawing/2014/chart" uri="{C3380CC4-5D6E-409C-BE32-E72D297353CC}">
                <c16:uniqueId val="{00000001-E825-4436-AE3B-5B5439324274}"/>
              </c:ext>
            </c:extLst>
          </c:dPt>
          <c:dPt>
            <c:idx val="1"/>
            <c:bubble3D val="0"/>
            <c:spPr>
              <a:solidFill>
                <a:srgbClr val="92D050"/>
              </a:solidFill>
              <a:ln w="19050">
                <a:solidFill>
                  <a:schemeClr val="lt1"/>
                </a:solidFill>
              </a:ln>
              <a:effectLst/>
            </c:spPr>
            <c:extLst>
              <c:ext xmlns:c16="http://schemas.microsoft.com/office/drawing/2014/chart" uri="{C3380CC4-5D6E-409C-BE32-E72D297353CC}">
                <c16:uniqueId val="{00000003-E825-4436-AE3B-5B5439324274}"/>
              </c:ext>
            </c:extLst>
          </c:dPt>
          <c:dPt>
            <c:idx val="2"/>
            <c:bubble3D val="0"/>
            <c:spPr>
              <a:solidFill>
                <a:srgbClr val="FFC000"/>
              </a:solidFill>
              <a:ln w="19050">
                <a:solidFill>
                  <a:schemeClr val="lt1"/>
                </a:solidFill>
              </a:ln>
              <a:effectLst/>
            </c:spPr>
            <c:extLst>
              <c:ext xmlns:c16="http://schemas.microsoft.com/office/drawing/2014/chart" uri="{C3380CC4-5D6E-409C-BE32-E72D297353CC}">
                <c16:uniqueId val="{00000005-E825-4436-AE3B-5B5439324274}"/>
              </c:ext>
            </c:extLst>
          </c:dPt>
          <c:dPt>
            <c:idx val="3"/>
            <c:bubble3D val="0"/>
            <c:spPr>
              <a:solidFill>
                <a:srgbClr val="FF0000"/>
              </a:solidFill>
              <a:ln w="19050">
                <a:solidFill>
                  <a:schemeClr val="lt1"/>
                </a:solidFill>
              </a:ln>
              <a:effectLst/>
            </c:spPr>
            <c:extLst>
              <c:ext xmlns:c16="http://schemas.microsoft.com/office/drawing/2014/chart" uri="{C3380CC4-5D6E-409C-BE32-E72D297353CC}">
                <c16:uniqueId val="{00000007-E825-4436-AE3B-5B5439324274}"/>
              </c:ext>
            </c:extLst>
          </c:dPt>
          <c:dPt>
            <c:idx val="4"/>
            <c:bubble3D val="0"/>
            <c:spPr>
              <a:solidFill>
                <a:srgbClr val="FCEFE0"/>
              </a:solidFill>
              <a:ln w="19050">
                <a:solidFill>
                  <a:schemeClr val="lt1"/>
                </a:solidFill>
              </a:ln>
              <a:effectLst/>
            </c:spPr>
            <c:extLst>
              <c:ext xmlns:c16="http://schemas.microsoft.com/office/drawing/2014/chart" uri="{C3380CC4-5D6E-409C-BE32-E72D297353CC}">
                <c16:uniqueId val="{00000009-E825-4436-AE3B-5B5439324274}"/>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fi-FI"/>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val>
            <c:numRef>
              <c:f>'R7'!$R$33:$R$37</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A-E825-4436-AE3B-5B5439324274}"/>
            </c:ext>
          </c:extLst>
        </c:ser>
        <c:dLbls>
          <c:showLegendKey val="0"/>
          <c:showVal val="0"/>
          <c:showCatName val="0"/>
          <c:showSerName val="0"/>
          <c:showPercent val="0"/>
          <c:showBubbleSize val="0"/>
          <c:showLeaderLines val="1"/>
        </c:dLbls>
        <c:firstSliceAng val="0"/>
        <c:holeSize val="40"/>
      </c:doughnut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fi-FI"/>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'R7'!$T$32</c:f>
          <c:strCache>
            <c:ptCount val="1"/>
            <c:pt idx="0">
              <c:v>11</c:v>
            </c:pt>
          </c:strCache>
        </c:strRef>
      </c:tx>
      <c:layout>
        <c:manualLayout>
          <c:xMode val="edge"/>
          <c:yMode val="edge"/>
          <c:x val="0.39986064858835707"/>
          <c:y val="0.42495347222222224"/>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fi-FI"/>
        </a:p>
      </c:txPr>
    </c:title>
    <c:autoTitleDeleted val="0"/>
    <c:plotArea>
      <c:layout>
        <c:manualLayout>
          <c:layoutTarget val="inner"/>
          <c:xMode val="edge"/>
          <c:yMode val="edge"/>
          <c:x val="5.1423611111111114E-2"/>
          <c:y val="4.0890972222222224E-2"/>
          <c:w val="0.94501033628999298"/>
          <c:h val="0.96979218540657131"/>
        </c:manualLayout>
      </c:layout>
      <c:doughnutChart>
        <c:varyColors val="1"/>
        <c:ser>
          <c:idx val="0"/>
          <c:order val="0"/>
          <c:dPt>
            <c:idx val="0"/>
            <c:bubble3D val="0"/>
            <c:spPr>
              <a:solidFill>
                <a:srgbClr val="159637"/>
              </a:solidFill>
              <a:ln w="19050">
                <a:solidFill>
                  <a:schemeClr val="lt1"/>
                </a:solidFill>
              </a:ln>
              <a:effectLst/>
            </c:spPr>
            <c:extLst>
              <c:ext xmlns:c16="http://schemas.microsoft.com/office/drawing/2014/chart" uri="{C3380CC4-5D6E-409C-BE32-E72D297353CC}">
                <c16:uniqueId val="{00000001-0AB6-4CD3-8716-93E5605728EA}"/>
              </c:ext>
            </c:extLst>
          </c:dPt>
          <c:dPt>
            <c:idx val="1"/>
            <c:bubble3D val="0"/>
            <c:spPr>
              <a:solidFill>
                <a:srgbClr val="92D050"/>
              </a:solidFill>
              <a:ln w="19050">
                <a:solidFill>
                  <a:schemeClr val="lt1"/>
                </a:solidFill>
              </a:ln>
              <a:effectLst/>
            </c:spPr>
            <c:extLst>
              <c:ext xmlns:c16="http://schemas.microsoft.com/office/drawing/2014/chart" uri="{C3380CC4-5D6E-409C-BE32-E72D297353CC}">
                <c16:uniqueId val="{00000003-0AB6-4CD3-8716-93E5605728EA}"/>
              </c:ext>
            </c:extLst>
          </c:dPt>
          <c:dPt>
            <c:idx val="2"/>
            <c:bubble3D val="0"/>
            <c:spPr>
              <a:solidFill>
                <a:srgbClr val="FFC000"/>
              </a:solidFill>
              <a:ln w="19050">
                <a:solidFill>
                  <a:schemeClr val="lt1"/>
                </a:solidFill>
              </a:ln>
              <a:effectLst/>
            </c:spPr>
            <c:extLst>
              <c:ext xmlns:c16="http://schemas.microsoft.com/office/drawing/2014/chart" uri="{C3380CC4-5D6E-409C-BE32-E72D297353CC}">
                <c16:uniqueId val="{00000005-0AB6-4CD3-8716-93E5605728EA}"/>
              </c:ext>
            </c:extLst>
          </c:dPt>
          <c:dPt>
            <c:idx val="3"/>
            <c:bubble3D val="0"/>
            <c:spPr>
              <a:solidFill>
                <a:srgbClr val="FF0000"/>
              </a:solidFill>
              <a:ln w="19050">
                <a:solidFill>
                  <a:schemeClr val="lt1"/>
                </a:solidFill>
              </a:ln>
              <a:effectLst/>
            </c:spPr>
            <c:extLst>
              <c:ext xmlns:c16="http://schemas.microsoft.com/office/drawing/2014/chart" uri="{C3380CC4-5D6E-409C-BE32-E72D297353CC}">
                <c16:uniqueId val="{00000007-0AB6-4CD3-8716-93E5605728EA}"/>
              </c:ext>
            </c:extLst>
          </c:dPt>
          <c:dPt>
            <c:idx val="4"/>
            <c:bubble3D val="0"/>
            <c:spPr>
              <a:solidFill>
                <a:srgbClr val="FCEFE0"/>
              </a:solidFill>
              <a:ln w="19050">
                <a:solidFill>
                  <a:schemeClr val="lt1"/>
                </a:solidFill>
              </a:ln>
              <a:effectLst/>
            </c:spPr>
            <c:extLst>
              <c:ext xmlns:c16="http://schemas.microsoft.com/office/drawing/2014/chart" uri="{C3380CC4-5D6E-409C-BE32-E72D297353CC}">
                <c16:uniqueId val="{00000009-0AB6-4CD3-8716-93E5605728E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fi-FI"/>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val>
            <c:numRef>
              <c:f>'R7'!$S$33:$S$37</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A-0AB6-4CD3-8716-93E5605728EA}"/>
            </c:ext>
          </c:extLst>
        </c:ser>
        <c:dLbls>
          <c:showLegendKey val="0"/>
          <c:showVal val="0"/>
          <c:showCatName val="0"/>
          <c:showSerName val="0"/>
          <c:showPercent val="0"/>
          <c:showBubbleSize val="0"/>
          <c:showLeaderLines val="1"/>
        </c:dLbls>
        <c:firstSliceAng val="0"/>
        <c:holeSize val="40"/>
      </c:doughnut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fi-FI"/>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'R7'!$T$32</c:f>
          <c:strCache>
            <c:ptCount val="1"/>
            <c:pt idx="0">
              <c:v>11</c:v>
            </c:pt>
          </c:strCache>
        </c:strRef>
      </c:tx>
      <c:layout>
        <c:manualLayout>
          <c:xMode val="edge"/>
          <c:yMode val="edge"/>
          <c:x val="0.39986064858835707"/>
          <c:y val="0.42495347222222224"/>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fi-FI"/>
        </a:p>
      </c:txPr>
    </c:title>
    <c:autoTitleDeleted val="0"/>
    <c:plotArea>
      <c:layout>
        <c:manualLayout>
          <c:layoutTarget val="inner"/>
          <c:xMode val="edge"/>
          <c:yMode val="edge"/>
          <c:x val="5.1423611111111114E-2"/>
          <c:y val="4.0890972222222224E-2"/>
          <c:w val="0.94501033628999298"/>
          <c:h val="0.96979218540657131"/>
        </c:manualLayout>
      </c:layout>
      <c:doughnutChart>
        <c:varyColors val="1"/>
        <c:ser>
          <c:idx val="0"/>
          <c:order val="0"/>
          <c:dPt>
            <c:idx val="0"/>
            <c:bubble3D val="0"/>
            <c:spPr>
              <a:solidFill>
                <a:srgbClr val="159637"/>
              </a:solidFill>
              <a:ln w="19050">
                <a:solidFill>
                  <a:schemeClr val="lt1"/>
                </a:solidFill>
              </a:ln>
              <a:effectLst/>
            </c:spPr>
            <c:extLst>
              <c:ext xmlns:c16="http://schemas.microsoft.com/office/drawing/2014/chart" uri="{C3380CC4-5D6E-409C-BE32-E72D297353CC}">
                <c16:uniqueId val="{00000001-B7A6-4AB9-AE8F-D55C1CBEE5F0}"/>
              </c:ext>
            </c:extLst>
          </c:dPt>
          <c:dPt>
            <c:idx val="1"/>
            <c:bubble3D val="0"/>
            <c:spPr>
              <a:solidFill>
                <a:srgbClr val="92D050"/>
              </a:solidFill>
              <a:ln w="19050">
                <a:solidFill>
                  <a:schemeClr val="lt1"/>
                </a:solidFill>
              </a:ln>
              <a:effectLst/>
            </c:spPr>
            <c:extLst>
              <c:ext xmlns:c16="http://schemas.microsoft.com/office/drawing/2014/chart" uri="{C3380CC4-5D6E-409C-BE32-E72D297353CC}">
                <c16:uniqueId val="{00000003-B7A6-4AB9-AE8F-D55C1CBEE5F0}"/>
              </c:ext>
            </c:extLst>
          </c:dPt>
          <c:dPt>
            <c:idx val="2"/>
            <c:bubble3D val="0"/>
            <c:spPr>
              <a:solidFill>
                <a:srgbClr val="FFC000"/>
              </a:solidFill>
              <a:ln w="19050">
                <a:solidFill>
                  <a:schemeClr val="lt1"/>
                </a:solidFill>
              </a:ln>
              <a:effectLst/>
            </c:spPr>
            <c:extLst>
              <c:ext xmlns:c16="http://schemas.microsoft.com/office/drawing/2014/chart" uri="{C3380CC4-5D6E-409C-BE32-E72D297353CC}">
                <c16:uniqueId val="{00000005-B7A6-4AB9-AE8F-D55C1CBEE5F0}"/>
              </c:ext>
            </c:extLst>
          </c:dPt>
          <c:dPt>
            <c:idx val="3"/>
            <c:bubble3D val="0"/>
            <c:spPr>
              <a:solidFill>
                <a:srgbClr val="FF0000"/>
              </a:solidFill>
              <a:ln w="19050">
                <a:solidFill>
                  <a:schemeClr val="lt1"/>
                </a:solidFill>
              </a:ln>
              <a:effectLst/>
            </c:spPr>
            <c:extLst>
              <c:ext xmlns:c16="http://schemas.microsoft.com/office/drawing/2014/chart" uri="{C3380CC4-5D6E-409C-BE32-E72D297353CC}">
                <c16:uniqueId val="{00000007-B7A6-4AB9-AE8F-D55C1CBEE5F0}"/>
              </c:ext>
            </c:extLst>
          </c:dPt>
          <c:dPt>
            <c:idx val="4"/>
            <c:bubble3D val="0"/>
            <c:spPr>
              <a:solidFill>
                <a:srgbClr val="FCEFE0"/>
              </a:solidFill>
              <a:ln w="19050">
                <a:solidFill>
                  <a:schemeClr val="lt1"/>
                </a:solidFill>
              </a:ln>
              <a:effectLst/>
            </c:spPr>
            <c:extLst>
              <c:ext xmlns:c16="http://schemas.microsoft.com/office/drawing/2014/chart" uri="{C3380CC4-5D6E-409C-BE32-E72D297353CC}">
                <c16:uniqueId val="{00000009-B7A6-4AB9-AE8F-D55C1CBEE5F0}"/>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fi-FI"/>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val>
            <c:numRef>
              <c:f>'R7'!$T$33:$T$37</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A-B7A6-4AB9-AE8F-D55C1CBEE5F0}"/>
            </c:ext>
          </c:extLst>
        </c:ser>
        <c:dLbls>
          <c:showLegendKey val="0"/>
          <c:showVal val="0"/>
          <c:showCatName val="0"/>
          <c:showSerName val="0"/>
          <c:showPercent val="0"/>
          <c:showBubbleSize val="0"/>
          <c:showLeaderLines val="1"/>
        </c:dLbls>
        <c:firstSliceAng val="0"/>
        <c:holeSize val="40"/>
      </c:doughnut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fi-FI"/>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'R7'!$U$32</c:f>
          <c:strCache>
            <c:ptCount val="1"/>
            <c:pt idx="0">
              <c:v>17</c:v>
            </c:pt>
          </c:strCache>
        </c:strRef>
      </c:tx>
      <c:layout>
        <c:manualLayout>
          <c:xMode val="edge"/>
          <c:yMode val="edge"/>
          <c:x val="0.41835346915120863"/>
          <c:y val="0.42495347222222224"/>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fi-FI"/>
        </a:p>
      </c:txPr>
    </c:title>
    <c:autoTitleDeleted val="0"/>
    <c:plotArea>
      <c:layout>
        <c:manualLayout>
          <c:layoutTarget val="inner"/>
          <c:xMode val="edge"/>
          <c:yMode val="edge"/>
          <c:x val="5.1423611111111114E-2"/>
          <c:y val="4.0890972222222224E-2"/>
          <c:w val="0.94501033628999298"/>
          <c:h val="0.96979218540657131"/>
        </c:manualLayout>
      </c:layout>
      <c:doughnutChart>
        <c:varyColors val="1"/>
        <c:ser>
          <c:idx val="0"/>
          <c:order val="0"/>
          <c:dPt>
            <c:idx val="0"/>
            <c:bubble3D val="0"/>
            <c:spPr>
              <a:solidFill>
                <a:srgbClr val="159637"/>
              </a:solidFill>
              <a:ln w="19050">
                <a:solidFill>
                  <a:schemeClr val="lt1"/>
                </a:solidFill>
              </a:ln>
              <a:effectLst/>
            </c:spPr>
            <c:extLst>
              <c:ext xmlns:c16="http://schemas.microsoft.com/office/drawing/2014/chart" uri="{C3380CC4-5D6E-409C-BE32-E72D297353CC}">
                <c16:uniqueId val="{00000001-BE2F-4A88-B8FA-9C077580AC57}"/>
              </c:ext>
            </c:extLst>
          </c:dPt>
          <c:dPt>
            <c:idx val="1"/>
            <c:bubble3D val="0"/>
            <c:spPr>
              <a:solidFill>
                <a:srgbClr val="92D050"/>
              </a:solidFill>
              <a:ln w="19050">
                <a:solidFill>
                  <a:schemeClr val="lt1"/>
                </a:solidFill>
              </a:ln>
              <a:effectLst/>
            </c:spPr>
            <c:extLst>
              <c:ext xmlns:c16="http://schemas.microsoft.com/office/drawing/2014/chart" uri="{C3380CC4-5D6E-409C-BE32-E72D297353CC}">
                <c16:uniqueId val="{00000003-BE2F-4A88-B8FA-9C077580AC57}"/>
              </c:ext>
            </c:extLst>
          </c:dPt>
          <c:dPt>
            <c:idx val="2"/>
            <c:bubble3D val="0"/>
            <c:spPr>
              <a:solidFill>
                <a:srgbClr val="FFC000"/>
              </a:solidFill>
              <a:ln w="19050">
                <a:solidFill>
                  <a:schemeClr val="lt1"/>
                </a:solidFill>
              </a:ln>
              <a:effectLst/>
            </c:spPr>
            <c:extLst>
              <c:ext xmlns:c16="http://schemas.microsoft.com/office/drawing/2014/chart" uri="{C3380CC4-5D6E-409C-BE32-E72D297353CC}">
                <c16:uniqueId val="{00000005-BE2F-4A88-B8FA-9C077580AC57}"/>
              </c:ext>
            </c:extLst>
          </c:dPt>
          <c:dPt>
            <c:idx val="3"/>
            <c:bubble3D val="0"/>
            <c:spPr>
              <a:solidFill>
                <a:srgbClr val="FF0000"/>
              </a:solidFill>
              <a:ln w="19050">
                <a:solidFill>
                  <a:schemeClr val="lt1"/>
                </a:solidFill>
              </a:ln>
              <a:effectLst/>
            </c:spPr>
            <c:extLst>
              <c:ext xmlns:c16="http://schemas.microsoft.com/office/drawing/2014/chart" uri="{C3380CC4-5D6E-409C-BE32-E72D297353CC}">
                <c16:uniqueId val="{00000007-BE2F-4A88-B8FA-9C077580AC57}"/>
              </c:ext>
            </c:extLst>
          </c:dPt>
          <c:dPt>
            <c:idx val="4"/>
            <c:bubble3D val="0"/>
            <c:spPr>
              <a:solidFill>
                <a:srgbClr val="FCEFE0"/>
              </a:solidFill>
              <a:ln w="19050">
                <a:solidFill>
                  <a:schemeClr val="lt1"/>
                </a:solidFill>
              </a:ln>
              <a:effectLst/>
            </c:spPr>
            <c:extLst>
              <c:ext xmlns:c16="http://schemas.microsoft.com/office/drawing/2014/chart" uri="{C3380CC4-5D6E-409C-BE32-E72D297353CC}">
                <c16:uniqueId val="{00000009-BE2F-4A88-B8FA-9C077580AC57}"/>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fi-FI"/>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val>
            <c:numRef>
              <c:f>'R7'!$U$33:$U$37</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A-BE2F-4A88-B8FA-9C077580AC57}"/>
            </c:ext>
          </c:extLst>
        </c:ser>
        <c:dLbls>
          <c:showLegendKey val="0"/>
          <c:showVal val="0"/>
          <c:showCatName val="0"/>
          <c:showSerName val="0"/>
          <c:showPercent val="0"/>
          <c:showBubbleSize val="0"/>
          <c:showLeaderLines val="1"/>
        </c:dLbls>
        <c:firstSliceAng val="0"/>
        <c:holeSize val="40"/>
      </c:doughnut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fi-FI"/>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'R7'!$V$32</c:f>
          <c:strCache>
            <c:ptCount val="1"/>
            <c:pt idx="0">
              <c:v>14</c:v>
            </c:pt>
          </c:strCache>
        </c:strRef>
      </c:tx>
      <c:layout>
        <c:manualLayout>
          <c:xMode val="edge"/>
          <c:yMode val="edge"/>
          <c:x val="0.3998603574645051"/>
          <c:y val="0.43377291666666667"/>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fi-FI"/>
        </a:p>
      </c:txPr>
    </c:title>
    <c:autoTitleDeleted val="0"/>
    <c:plotArea>
      <c:layout>
        <c:manualLayout>
          <c:layoutTarget val="inner"/>
          <c:xMode val="edge"/>
          <c:yMode val="edge"/>
          <c:x val="5.1423611111111114E-2"/>
          <c:y val="4.0890972222222224E-2"/>
          <c:w val="0.94501033628999298"/>
          <c:h val="0.96979218540657131"/>
        </c:manualLayout>
      </c:layout>
      <c:doughnutChart>
        <c:varyColors val="1"/>
        <c:ser>
          <c:idx val="0"/>
          <c:order val="0"/>
          <c:dPt>
            <c:idx val="0"/>
            <c:bubble3D val="0"/>
            <c:spPr>
              <a:solidFill>
                <a:srgbClr val="159637"/>
              </a:solidFill>
              <a:ln w="19050">
                <a:solidFill>
                  <a:schemeClr val="lt1"/>
                </a:solidFill>
              </a:ln>
              <a:effectLst/>
            </c:spPr>
            <c:extLst>
              <c:ext xmlns:c16="http://schemas.microsoft.com/office/drawing/2014/chart" uri="{C3380CC4-5D6E-409C-BE32-E72D297353CC}">
                <c16:uniqueId val="{00000001-CA97-4583-971C-2C4D2FC5A31C}"/>
              </c:ext>
            </c:extLst>
          </c:dPt>
          <c:dPt>
            <c:idx val="1"/>
            <c:bubble3D val="0"/>
            <c:spPr>
              <a:solidFill>
                <a:srgbClr val="92D050"/>
              </a:solidFill>
              <a:ln w="19050">
                <a:solidFill>
                  <a:schemeClr val="lt1"/>
                </a:solidFill>
              </a:ln>
              <a:effectLst/>
            </c:spPr>
            <c:extLst>
              <c:ext xmlns:c16="http://schemas.microsoft.com/office/drawing/2014/chart" uri="{C3380CC4-5D6E-409C-BE32-E72D297353CC}">
                <c16:uniqueId val="{00000003-CA97-4583-971C-2C4D2FC5A31C}"/>
              </c:ext>
            </c:extLst>
          </c:dPt>
          <c:dPt>
            <c:idx val="2"/>
            <c:bubble3D val="0"/>
            <c:spPr>
              <a:solidFill>
                <a:srgbClr val="FFC000"/>
              </a:solidFill>
              <a:ln w="19050">
                <a:solidFill>
                  <a:schemeClr val="lt1"/>
                </a:solidFill>
              </a:ln>
              <a:effectLst/>
            </c:spPr>
            <c:extLst>
              <c:ext xmlns:c16="http://schemas.microsoft.com/office/drawing/2014/chart" uri="{C3380CC4-5D6E-409C-BE32-E72D297353CC}">
                <c16:uniqueId val="{00000005-CA97-4583-971C-2C4D2FC5A31C}"/>
              </c:ext>
            </c:extLst>
          </c:dPt>
          <c:dPt>
            <c:idx val="3"/>
            <c:bubble3D val="0"/>
            <c:spPr>
              <a:solidFill>
                <a:srgbClr val="FF0000"/>
              </a:solidFill>
              <a:ln w="19050">
                <a:solidFill>
                  <a:schemeClr val="lt1"/>
                </a:solidFill>
              </a:ln>
              <a:effectLst/>
            </c:spPr>
            <c:extLst>
              <c:ext xmlns:c16="http://schemas.microsoft.com/office/drawing/2014/chart" uri="{C3380CC4-5D6E-409C-BE32-E72D297353CC}">
                <c16:uniqueId val="{00000007-CA97-4583-971C-2C4D2FC5A31C}"/>
              </c:ext>
            </c:extLst>
          </c:dPt>
          <c:dPt>
            <c:idx val="4"/>
            <c:bubble3D val="0"/>
            <c:spPr>
              <a:solidFill>
                <a:srgbClr val="FCEFE0"/>
              </a:solidFill>
              <a:ln w="19050">
                <a:solidFill>
                  <a:schemeClr val="lt1"/>
                </a:solidFill>
              </a:ln>
              <a:effectLst/>
            </c:spPr>
            <c:extLst>
              <c:ext xmlns:c16="http://schemas.microsoft.com/office/drawing/2014/chart" uri="{C3380CC4-5D6E-409C-BE32-E72D297353CC}">
                <c16:uniqueId val="{00000009-CA97-4583-971C-2C4D2FC5A31C}"/>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fi-FI"/>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val>
            <c:numRef>
              <c:f>'R7'!$V$33:$V$37</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A-CA97-4583-971C-2C4D2FC5A31C}"/>
            </c:ext>
          </c:extLst>
        </c:ser>
        <c:dLbls>
          <c:showLegendKey val="0"/>
          <c:showVal val="0"/>
          <c:showCatName val="0"/>
          <c:showSerName val="0"/>
          <c:showPercent val="0"/>
          <c:showBubbleSize val="0"/>
          <c:showLeaderLines val="1"/>
        </c:dLbls>
        <c:firstSliceAng val="0"/>
        <c:holeSize val="40"/>
      </c:doughnut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fi-FI"/>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'R7'!$V$38</c:f>
          <c:strCache>
            <c:ptCount val="1"/>
            <c:pt idx="0">
              <c:v>8</c:v>
            </c:pt>
          </c:strCache>
        </c:strRef>
      </c:tx>
      <c:layout>
        <c:manualLayout>
          <c:xMode val="edge"/>
          <c:yMode val="edge"/>
          <c:x val="0.4553388888888889"/>
          <c:y val="0.42495347222222224"/>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fi-FI"/>
        </a:p>
      </c:txPr>
    </c:title>
    <c:autoTitleDeleted val="0"/>
    <c:plotArea>
      <c:layout>
        <c:manualLayout>
          <c:layoutTarget val="inner"/>
          <c:xMode val="edge"/>
          <c:yMode val="edge"/>
          <c:x val="5.1423611111111114E-2"/>
          <c:y val="4.0890972222222224E-2"/>
          <c:w val="0.94501033628999298"/>
          <c:h val="0.96979218540657131"/>
        </c:manualLayout>
      </c:layout>
      <c:doughnutChart>
        <c:varyColors val="1"/>
        <c:ser>
          <c:idx val="0"/>
          <c:order val="0"/>
          <c:dPt>
            <c:idx val="0"/>
            <c:bubble3D val="0"/>
            <c:spPr>
              <a:solidFill>
                <a:srgbClr val="159637"/>
              </a:solidFill>
              <a:ln w="19050">
                <a:solidFill>
                  <a:schemeClr val="lt1"/>
                </a:solidFill>
              </a:ln>
              <a:effectLst/>
            </c:spPr>
            <c:extLst>
              <c:ext xmlns:c16="http://schemas.microsoft.com/office/drawing/2014/chart" uri="{C3380CC4-5D6E-409C-BE32-E72D297353CC}">
                <c16:uniqueId val="{00000001-612E-4678-A04B-BFB684DECB71}"/>
              </c:ext>
            </c:extLst>
          </c:dPt>
          <c:dPt>
            <c:idx val="1"/>
            <c:bubble3D val="0"/>
            <c:spPr>
              <a:solidFill>
                <a:srgbClr val="92D050"/>
              </a:solidFill>
              <a:ln w="19050">
                <a:solidFill>
                  <a:schemeClr val="lt1"/>
                </a:solidFill>
              </a:ln>
              <a:effectLst/>
            </c:spPr>
            <c:extLst>
              <c:ext xmlns:c16="http://schemas.microsoft.com/office/drawing/2014/chart" uri="{C3380CC4-5D6E-409C-BE32-E72D297353CC}">
                <c16:uniqueId val="{00000003-612E-4678-A04B-BFB684DECB71}"/>
              </c:ext>
            </c:extLst>
          </c:dPt>
          <c:dPt>
            <c:idx val="2"/>
            <c:bubble3D val="0"/>
            <c:spPr>
              <a:solidFill>
                <a:srgbClr val="FFC000"/>
              </a:solidFill>
              <a:ln w="19050">
                <a:solidFill>
                  <a:schemeClr val="lt1"/>
                </a:solidFill>
              </a:ln>
              <a:effectLst/>
            </c:spPr>
            <c:extLst>
              <c:ext xmlns:c16="http://schemas.microsoft.com/office/drawing/2014/chart" uri="{C3380CC4-5D6E-409C-BE32-E72D297353CC}">
                <c16:uniqueId val="{00000005-612E-4678-A04B-BFB684DECB71}"/>
              </c:ext>
            </c:extLst>
          </c:dPt>
          <c:dPt>
            <c:idx val="3"/>
            <c:bubble3D val="0"/>
            <c:spPr>
              <a:solidFill>
                <a:srgbClr val="FF0000"/>
              </a:solidFill>
              <a:ln w="19050">
                <a:solidFill>
                  <a:schemeClr val="lt1"/>
                </a:solidFill>
              </a:ln>
              <a:effectLst/>
            </c:spPr>
            <c:extLst>
              <c:ext xmlns:c16="http://schemas.microsoft.com/office/drawing/2014/chart" uri="{C3380CC4-5D6E-409C-BE32-E72D297353CC}">
                <c16:uniqueId val="{00000007-612E-4678-A04B-BFB684DECB71}"/>
              </c:ext>
            </c:extLst>
          </c:dPt>
          <c:dPt>
            <c:idx val="4"/>
            <c:bubble3D val="0"/>
            <c:spPr>
              <a:solidFill>
                <a:srgbClr val="FCEFE0"/>
              </a:solidFill>
              <a:ln w="19050">
                <a:solidFill>
                  <a:schemeClr val="lt1"/>
                </a:solidFill>
              </a:ln>
              <a:effectLst/>
            </c:spPr>
            <c:extLst>
              <c:ext xmlns:c16="http://schemas.microsoft.com/office/drawing/2014/chart" uri="{C3380CC4-5D6E-409C-BE32-E72D297353CC}">
                <c16:uniqueId val="{00000009-612E-4678-A04B-BFB684DECB71}"/>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fi-FI"/>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val>
            <c:numRef>
              <c:f>'R7'!$V$39:$V$43</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A-612E-4678-A04B-BFB684DECB71}"/>
            </c:ext>
          </c:extLst>
        </c:ser>
        <c:dLbls>
          <c:showLegendKey val="0"/>
          <c:showVal val="0"/>
          <c:showCatName val="0"/>
          <c:showSerName val="0"/>
          <c:showPercent val="0"/>
          <c:showBubbleSize val="0"/>
          <c:showLeaderLines val="1"/>
        </c:dLbls>
        <c:firstSliceAng val="0"/>
        <c:holeSize val="40"/>
      </c:doughnutChart>
    </c:plotArea>
    <c:plotVisOnly val="1"/>
    <c:dispBlanksAs val="gap"/>
    <c:showDLblsOverMax val="0"/>
  </c:chart>
  <c:spPr>
    <a:solidFill>
      <a:schemeClr val="bg1"/>
    </a:solidFill>
    <a:ln w="9525" cap="flat" cmpd="sng" algn="ctr">
      <a:noFill/>
      <a:round/>
    </a:ln>
    <a:effectLst/>
  </c:spPr>
  <c:txPr>
    <a:bodyPr/>
    <a:lstStyle/>
    <a:p>
      <a:pPr>
        <a:defRPr/>
      </a:pPr>
      <a:endParaRPr lang="fi-FI"/>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'R7'!$S$26</c:f>
          <c:strCache>
            <c:ptCount val="1"/>
            <c:pt idx="0">
              <c:v>18</c:v>
            </c:pt>
          </c:strCache>
        </c:strRef>
      </c:tx>
      <c:layout>
        <c:manualLayout>
          <c:xMode val="edge"/>
          <c:yMode val="edge"/>
          <c:x val="0.40932889514267373"/>
          <c:y val="0.42495347222222224"/>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fi-FI"/>
        </a:p>
      </c:txPr>
    </c:title>
    <c:autoTitleDeleted val="0"/>
    <c:plotArea>
      <c:layout>
        <c:manualLayout>
          <c:layoutTarget val="inner"/>
          <c:xMode val="edge"/>
          <c:yMode val="edge"/>
          <c:x val="5.1423611111111114E-2"/>
          <c:y val="4.0890972222222224E-2"/>
          <c:w val="0.94501033628999298"/>
          <c:h val="0.96979218540657131"/>
        </c:manualLayout>
      </c:layout>
      <c:doughnutChart>
        <c:varyColors val="1"/>
        <c:ser>
          <c:idx val="0"/>
          <c:order val="0"/>
          <c:dPt>
            <c:idx val="0"/>
            <c:bubble3D val="0"/>
            <c:spPr>
              <a:solidFill>
                <a:srgbClr val="159637"/>
              </a:solidFill>
              <a:ln w="19050">
                <a:solidFill>
                  <a:schemeClr val="lt1"/>
                </a:solidFill>
              </a:ln>
              <a:effectLst/>
            </c:spPr>
            <c:extLst>
              <c:ext xmlns:c16="http://schemas.microsoft.com/office/drawing/2014/chart" uri="{C3380CC4-5D6E-409C-BE32-E72D297353CC}">
                <c16:uniqueId val="{00000001-52B4-4D75-B16B-D9073CC2E4CB}"/>
              </c:ext>
            </c:extLst>
          </c:dPt>
          <c:dPt>
            <c:idx val="1"/>
            <c:bubble3D val="0"/>
            <c:spPr>
              <a:solidFill>
                <a:srgbClr val="92D050"/>
              </a:solidFill>
              <a:ln w="19050">
                <a:solidFill>
                  <a:schemeClr val="lt1"/>
                </a:solidFill>
              </a:ln>
              <a:effectLst/>
            </c:spPr>
            <c:extLst>
              <c:ext xmlns:c16="http://schemas.microsoft.com/office/drawing/2014/chart" uri="{C3380CC4-5D6E-409C-BE32-E72D297353CC}">
                <c16:uniqueId val="{00000003-52B4-4D75-B16B-D9073CC2E4CB}"/>
              </c:ext>
            </c:extLst>
          </c:dPt>
          <c:dPt>
            <c:idx val="2"/>
            <c:bubble3D val="0"/>
            <c:spPr>
              <a:solidFill>
                <a:srgbClr val="FFC000"/>
              </a:solidFill>
              <a:ln w="19050">
                <a:solidFill>
                  <a:schemeClr val="lt1"/>
                </a:solidFill>
              </a:ln>
              <a:effectLst/>
            </c:spPr>
            <c:extLst>
              <c:ext xmlns:c16="http://schemas.microsoft.com/office/drawing/2014/chart" uri="{C3380CC4-5D6E-409C-BE32-E72D297353CC}">
                <c16:uniqueId val="{00000005-52B4-4D75-B16B-D9073CC2E4CB}"/>
              </c:ext>
            </c:extLst>
          </c:dPt>
          <c:dPt>
            <c:idx val="3"/>
            <c:bubble3D val="0"/>
            <c:spPr>
              <a:solidFill>
                <a:srgbClr val="FF0000"/>
              </a:solidFill>
              <a:ln w="19050">
                <a:solidFill>
                  <a:schemeClr val="lt1"/>
                </a:solidFill>
              </a:ln>
              <a:effectLst/>
            </c:spPr>
            <c:extLst>
              <c:ext xmlns:c16="http://schemas.microsoft.com/office/drawing/2014/chart" uri="{C3380CC4-5D6E-409C-BE32-E72D297353CC}">
                <c16:uniqueId val="{00000007-52B4-4D75-B16B-D9073CC2E4CB}"/>
              </c:ext>
            </c:extLst>
          </c:dPt>
          <c:dPt>
            <c:idx val="4"/>
            <c:bubble3D val="0"/>
            <c:spPr>
              <a:solidFill>
                <a:srgbClr val="FCEFE0"/>
              </a:solidFill>
              <a:ln w="19050">
                <a:solidFill>
                  <a:schemeClr val="lt1"/>
                </a:solidFill>
              </a:ln>
              <a:effectLst/>
            </c:spPr>
            <c:extLst>
              <c:ext xmlns:c16="http://schemas.microsoft.com/office/drawing/2014/chart" uri="{C3380CC4-5D6E-409C-BE32-E72D297353CC}">
                <c16:uniqueId val="{00000009-52B4-4D75-B16B-D9073CC2E4CB}"/>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fi-FI"/>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val>
            <c:numRef>
              <c:f>'R7'!$S$27:$S$31</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A-52B4-4D75-B16B-D9073CC2E4CB}"/>
            </c:ext>
          </c:extLst>
        </c:ser>
        <c:dLbls>
          <c:showLegendKey val="0"/>
          <c:showVal val="0"/>
          <c:showCatName val="0"/>
          <c:showSerName val="0"/>
          <c:showPercent val="0"/>
          <c:showBubbleSize val="0"/>
          <c:showLeaderLines val="1"/>
        </c:dLbls>
        <c:firstSliceAng val="0"/>
        <c:holeSize val="40"/>
      </c:doughnut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fi-FI"/>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'R7'!$T$26</c:f>
          <c:strCache>
            <c:ptCount val="1"/>
            <c:pt idx="0">
              <c:v>11</c:v>
            </c:pt>
          </c:strCache>
        </c:strRef>
      </c:tx>
      <c:layout>
        <c:manualLayout>
          <c:xMode val="edge"/>
          <c:yMode val="edge"/>
          <c:x val="0.40932889514267373"/>
          <c:y val="0.42495347222222224"/>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fi-FI"/>
        </a:p>
      </c:txPr>
    </c:title>
    <c:autoTitleDeleted val="0"/>
    <c:plotArea>
      <c:layout>
        <c:manualLayout>
          <c:layoutTarget val="inner"/>
          <c:xMode val="edge"/>
          <c:yMode val="edge"/>
          <c:x val="5.1423611111111114E-2"/>
          <c:y val="4.0890972222222224E-2"/>
          <c:w val="0.94501033628999298"/>
          <c:h val="0.96979218540657131"/>
        </c:manualLayout>
      </c:layout>
      <c:doughnutChart>
        <c:varyColors val="1"/>
        <c:ser>
          <c:idx val="0"/>
          <c:order val="0"/>
          <c:dPt>
            <c:idx val="0"/>
            <c:bubble3D val="0"/>
            <c:spPr>
              <a:solidFill>
                <a:srgbClr val="159637"/>
              </a:solidFill>
              <a:ln w="19050">
                <a:solidFill>
                  <a:schemeClr val="lt1"/>
                </a:solidFill>
              </a:ln>
              <a:effectLst/>
            </c:spPr>
            <c:extLst>
              <c:ext xmlns:c16="http://schemas.microsoft.com/office/drawing/2014/chart" uri="{C3380CC4-5D6E-409C-BE32-E72D297353CC}">
                <c16:uniqueId val="{00000001-2880-438A-98B7-766074361BFB}"/>
              </c:ext>
            </c:extLst>
          </c:dPt>
          <c:dPt>
            <c:idx val="1"/>
            <c:bubble3D val="0"/>
            <c:spPr>
              <a:solidFill>
                <a:srgbClr val="92D050"/>
              </a:solidFill>
              <a:ln w="19050">
                <a:solidFill>
                  <a:schemeClr val="lt1"/>
                </a:solidFill>
              </a:ln>
              <a:effectLst/>
            </c:spPr>
            <c:extLst>
              <c:ext xmlns:c16="http://schemas.microsoft.com/office/drawing/2014/chart" uri="{C3380CC4-5D6E-409C-BE32-E72D297353CC}">
                <c16:uniqueId val="{00000003-2880-438A-98B7-766074361BFB}"/>
              </c:ext>
            </c:extLst>
          </c:dPt>
          <c:dPt>
            <c:idx val="2"/>
            <c:bubble3D val="0"/>
            <c:spPr>
              <a:solidFill>
                <a:srgbClr val="FFC000"/>
              </a:solidFill>
              <a:ln w="19050">
                <a:solidFill>
                  <a:schemeClr val="lt1"/>
                </a:solidFill>
              </a:ln>
              <a:effectLst/>
            </c:spPr>
            <c:extLst>
              <c:ext xmlns:c16="http://schemas.microsoft.com/office/drawing/2014/chart" uri="{C3380CC4-5D6E-409C-BE32-E72D297353CC}">
                <c16:uniqueId val="{00000005-2880-438A-98B7-766074361BFB}"/>
              </c:ext>
            </c:extLst>
          </c:dPt>
          <c:dPt>
            <c:idx val="3"/>
            <c:bubble3D val="0"/>
            <c:spPr>
              <a:solidFill>
                <a:srgbClr val="FF0000"/>
              </a:solidFill>
              <a:ln w="19050">
                <a:solidFill>
                  <a:schemeClr val="lt1"/>
                </a:solidFill>
              </a:ln>
              <a:effectLst/>
            </c:spPr>
            <c:extLst>
              <c:ext xmlns:c16="http://schemas.microsoft.com/office/drawing/2014/chart" uri="{C3380CC4-5D6E-409C-BE32-E72D297353CC}">
                <c16:uniqueId val="{00000007-2880-438A-98B7-766074361BFB}"/>
              </c:ext>
            </c:extLst>
          </c:dPt>
          <c:dPt>
            <c:idx val="4"/>
            <c:bubble3D val="0"/>
            <c:spPr>
              <a:solidFill>
                <a:srgbClr val="FCEFE0"/>
              </a:solidFill>
              <a:ln w="19050">
                <a:solidFill>
                  <a:schemeClr val="lt1"/>
                </a:solidFill>
              </a:ln>
              <a:effectLst/>
            </c:spPr>
            <c:extLst>
              <c:ext xmlns:c16="http://schemas.microsoft.com/office/drawing/2014/chart" uri="{C3380CC4-5D6E-409C-BE32-E72D297353CC}">
                <c16:uniqueId val="{00000009-2880-438A-98B7-766074361BFB}"/>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fi-FI"/>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val>
            <c:numRef>
              <c:f>'R7'!$T$27:$T$31</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A-2880-438A-98B7-766074361BFB}"/>
            </c:ext>
          </c:extLst>
        </c:ser>
        <c:dLbls>
          <c:showLegendKey val="0"/>
          <c:showVal val="0"/>
          <c:showCatName val="0"/>
          <c:showSerName val="0"/>
          <c:showPercent val="0"/>
          <c:showBubbleSize val="0"/>
          <c:showLeaderLines val="1"/>
        </c:dLbls>
        <c:firstSliceAng val="0"/>
        <c:holeSize val="40"/>
      </c:doughnut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fi-FI"/>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'R7'!$U$26</c:f>
          <c:strCache>
            <c:ptCount val="1"/>
            <c:pt idx="0">
              <c:v>16</c:v>
            </c:pt>
          </c:strCache>
        </c:strRef>
      </c:tx>
      <c:layout>
        <c:manualLayout>
          <c:xMode val="edge"/>
          <c:yMode val="edge"/>
          <c:x val="0.40932889514267373"/>
          <c:y val="0.42495347222222224"/>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fi-FI"/>
        </a:p>
      </c:txPr>
    </c:title>
    <c:autoTitleDeleted val="0"/>
    <c:plotArea>
      <c:layout>
        <c:manualLayout>
          <c:layoutTarget val="inner"/>
          <c:xMode val="edge"/>
          <c:yMode val="edge"/>
          <c:x val="5.1423611111111114E-2"/>
          <c:y val="4.0890972222222224E-2"/>
          <c:w val="0.94501033628999298"/>
          <c:h val="0.96979218540657131"/>
        </c:manualLayout>
      </c:layout>
      <c:doughnutChart>
        <c:varyColors val="1"/>
        <c:ser>
          <c:idx val="0"/>
          <c:order val="0"/>
          <c:dPt>
            <c:idx val="0"/>
            <c:bubble3D val="0"/>
            <c:spPr>
              <a:solidFill>
                <a:srgbClr val="159637"/>
              </a:solidFill>
              <a:ln w="19050">
                <a:solidFill>
                  <a:schemeClr val="lt1"/>
                </a:solidFill>
              </a:ln>
              <a:effectLst/>
            </c:spPr>
            <c:extLst>
              <c:ext xmlns:c16="http://schemas.microsoft.com/office/drawing/2014/chart" uri="{C3380CC4-5D6E-409C-BE32-E72D297353CC}">
                <c16:uniqueId val="{00000001-DFD9-42DD-80CE-F9EF18D0E6AE}"/>
              </c:ext>
            </c:extLst>
          </c:dPt>
          <c:dPt>
            <c:idx val="1"/>
            <c:bubble3D val="0"/>
            <c:spPr>
              <a:solidFill>
                <a:srgbClr val="92D050"/>
              </a:solidFill>
              <a:ln w="19050">
                <a:solidFill>
                  <a:schemeClr val="lt1"/>
                </a:solidFill>
              </a:ln>
              <a:effectLst/>
            </c:spPr>
            <c:extLst>
              <c:ext xmlns:c16="http://schemas.microsoft.com/office/drawing/2014/chart" uri="{C3380CC4-5D6E-409C-BE32-E72D297353CC}">
                <c16:uniqueId val="{00000003-DFD9-42DD-80CE-F9EF18D0E6AE}"/>
              </c:ext>
            </c:extLst>
          </c:dPt>
          <c:dPt>
            <c:idx val="2"/>
            <c:bubble3D val="0"/>
            <c:spPr>
              <a:solidFill>
                <a:srgbClr val="FFC000"/>
              </a:solidFill>
              <a:ln w="19050">
                <a:solidFill>
                  <a:schemeClr val="lt1"/>
                </a:solidFill>
              </a:ln>
              <a:effectLst/>
            </c:spPr>
            <c:extLst>
              <c:ext xmlns:c16="http://schemas.microsoft.com/office/drawing/2014/chart" uri="{C3380CC4-5D6E-409C-BE32-E72D297353CC}">
                <c16:uniqueId val="{00000005-DFD9-42DD-80CE-F9EF18D0E6AE}"/>
              </c:ext>
            </c:extLst>
          </c:dPt>
          <c:dPt>
            <c:idx val="3"/>
            <c:bubble3D val="0"/>
            <c:spPr>
              <a:solidFill>
                <a:srgbClr val="FF0000"/>
              </a:solidFill>
              <a:ln w="19050">
                <a:solidFill>
                  <a:schemeClr val="lt1"/>
                </a:solidFill>
              </a:ln>
              <a:effectLst/>
            </c:spPr>
            <c:extLst>
              <c:ext xmlns:c16="http://schemas.microsoft.com/office/drawing/2014/chart" uri="{C3380CC4-5D6E-409C-BE32-E72D297353CC}">
                <c16:uniqueId val="{00000007-DFD9-42DD-80CE-F9EF18D0E6AE}"/>
              </c:ext>
            </c:extLst>
          </c:dPt>
          <c:dPt>
            <c:idx val="4"/>
            <c:bubble3D val="0"/>
            <c:spPr>
              <a:solidFill>
                <a:srgbClr val="FCEFE0"/>
              </a:solidFill>
              <a:ln w="19050">
                <a:solidFill>
                  <a:schemeClr val="lt1"/>
                </a:solidFill>
              </a:ln>
              <a:effectLst/>
            </c:spPr>
            <c:extLst>
              <c:ext xmlns:c16="http://schemas.microsoft.com/office/drawing/2014/chart" uri="{C3380CC4-5D6E-409C-BE32-E72D297353CC}">
                <c16:uniqueId val="{00000009-DFD9-42DD-80CE-F9EF18D0E6AE}"/>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fi-FI"/>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val>
            <c:numRef>
              <c:f>'R7'!$U$27:$U$31</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A-DFD9-42DD-80CE-F9EF18D0E6AE}"/>
            </c:ext>
          </c:extLst>
        </c:ser>
        <c:dLbls>
          <c:showLegendKey val="0"/>
          <c:showVal val="0"/>
          <c:showCatName val="0"/>
          <c:showSerName val="0"/>
          <c:showPercent val="0"/>
          <c:showBubbleSize val="0"/>
          <c:showLeaderLines val="1"/>
        </c:dLbls>
        <c:firstSliceAng val="0"/>
        <c:holeSize val="40"/>
      </c:doughnut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fi-F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0229915333354276E-2"/>
          <c:y val="1.4807504769882048E-2"/>
          <c:w val="0.98651699892340461"/>
          <c:h val="0.85603630846807399"/>
        </c:manualLayout>
      </c:layout>
      <c:barChart>
        <c:barDir val="col"/>
        <c:grouping val="stacked"/>
        <c:varyColors val="0"/>
        <c:ser>
          <c:idx val="3"/>
          <c:order val="0"/>
          <c:tx>
            <c:strRef>
              <c:f>Data!$R$15</c:f>
              <c:strCache>
                <c:ptCount val="1"/>
                <c:pt idx="0">
                  <c:v>MIL0</c:v>
                </c:pt>
              </c:strCache>
            </c:strRef>
          </c:tx>
          <c:spPr>
            <a:solidFill>
              <a:srgbClr val="FDECE3"/>
            </a:solidFill>
            <a:ln>
              <a:noFill/>
            </a:ln>
            <a:effectLst/>
          </c:spPr>
          <c:invertIfNegative val="0"/>
          <c:cat>
            <c:strRef>
              <c:f>Data!$R$3:$R$13</c:f>
              <c:strCache>
                <c:ptCount val="11"/>
                <c:pt idx="0">
                  <c:v>Kriittiset
palvelut</c:v>
                </c:pt>
                <c:pt idx="1">
                  <c:v>Omaisuuden
hallinta</c:v>
                </c:pt>
                <c:pt idx="2">
                  <c:v>Uhkat ja
haavoittuvuudet</c:v>
                </c:pt>
                <c:pt idx="3">
                  <c:v>Riskien
hallinta</c:v>
                </c:pt>
                <c:pt idx="4">
                  <c:v>Pääsyn
hallinta</c:v>
                </c:pt>
                <c:pt idx="5">
                  <c:v>Tilanne
kuva</c:v>
                </c:pt>
                <c:pt idx="6">
                  <c:v>Tapahtumat
ja häiriöt</c:v>
                </c:pt>
                <c:pt idx="7">
                  <c:v>Kolmannet
osapuolet</c:v>
                </c:pt>
                <c:pt idx="8">
                  <c:v>Henkilöstön
hallinta</c:v>
                </c:pt>
                <c:pt idx="9">
                  <c:v>Kyber
arkkitehtuuri</c:v>
                </c:pt>
                <c:pt idx="10">
                  <c:v>Kyberturv.
hallinta</c:v>
                </c:pt>
              </c:strCache>
            </c:strRef>
          </c:cat>
          <c:val>
            <c:numRef>
              <c:f>Data!$R$16:$R$26</c:f>
              <c:numCache>
                <c:formatCode>General</c:formatCode>
                <c:ptCount val="11"/>
                <c:pt idx="0">
                  <c:v>0.8</c:v>
                </c:pt>
                <c:pt idx="1">
                  <c:v>0.8</c:v>
                </c:pt>
                <c:pt idx="2">
                  <c:v>0.8</c:v>
                </c:pt>
                <c:pt idx="3">
                  <c:v>0.8</c:v>
                </c:pt>
                <c:pt idx="4">
                  <c:v>0.8</c:v>
                </c:pt>
                <c:pt idx="5">
                  <c:v>0.8</c:v>
                </c:pt>
                <c:pt idx="6">
                  <c:v>0.8</c:v>
                </c:pt>
                <c:pt idx="7">
                  <c:v>0.8</c:v>
                </c:pt>
                <c:pt idx="8">
                  <c:v>0.8</c:v>
                </c:pt>
                <c:pt idx="9">
                  <c:v>0.8</c:v>
                </c:pt>
                <c:pt idx="10">
                  <c:v>0.8</c:v>
                </c:pt>
              </c:numCache>
            </c:numRef>
          </c:val>
          <c:extLst>
            <c:ext xmlns:c16="http://schemas.microsoft.com/office/drawing/2014/chart" uri="{C3380CC4-5D6E-409C-BE32-E72D297353CC}">
              <c16:uniqueId val="{00000003-69CF-43BB-AE21-7C322FD34A55}"/>
            </c:ext>
          </c:extLst>
        </c:ser>
        <c:ser>
          <c:idx val="4"/>
          <c:order val="1"/>
          <c:tx>
            <c:strRef>
              <c:f>Data!$S$15</c:f>
              <c:strCache>
                <c:ptCount val="1"/>
                <c:pt idx="0">
                  <c:v>MIL1</c:v>
                </c:pt>
              </c:strCache>
            </c:strRef>
          </c:tx>
          <c:spPr>
            <a:solidFill>
              <a:srgbClr val="E7F3FF"/>
            </a:solidFill>
            <a:ln>
              <a:noFill/>
            </a:ln>
            <a:effectLst/>
          </c:spPr>
          <c:invertIfNegative val="0"/>
          <c:cat>
            <c:strRef>
              <c:f>Data!$R$3:$R$13</c:f>
              <c:strCache>
                <c:ptCount val="11"/>
                <c:pt idx="0">
                  <c:v>Kriittiset
palvelut</c:v>
                </c:pt>
                <c:pt idx="1">
                  <c:v>Omaisuuden
hallinta</c:v>
                </c:pt>
                <c:pt idx="2">
                  <c:v>Uhkat ja
haavoittuvuudet</c:v>
                </c:pt>
                <c:pt idx="3">
                  <c:v>Riskien
hallinta</c:v>
                </c:pt>
                <c:pt idx="4">
                  <c:v>Pääsyn
hallinta</c:v>
                </c:pt>
                <c:pt idx="5">
                  <c:v>Tilanne
kuva</c:v>
                </c:pt>
                <c:pt idx="6">
                  <c:v>Tapahtumat
ja häiriöt</c:v>
                </c:pt>
                <c:pt idx="7">
                  <c:v>Kolmannet
osapuolet</c:v>
                </c:pt>
                <c:pt idx="8">
                  <c:v>Henkilöstön
hallinta</c:v>
                </c:pt>
                <c:pt idx="9">
                  <c:v>Kyber
arkkitehtuuri</c:v>
                </c:pt>
                <c:pt idx="10">
                  <c:v>Kyberturv.
hallinta</c:v>
                </c:pt>
              </c:strCache>
            </c:strRef>
          </c:cat>
          <c:val>
            <c:numRef>
              <c:f>Data!$S$16:$S$26</c:f>
              <c:numCache>
                <c:formatCode>General</c:formatCode>
                <c:ptCount val="11"/>
                <c:pt idx="0">
                  <c:v>1</c:v>
                </c:pt>
                <c:pt idx="1">
                  <c:v>1</c:v>
                </c:pt>
                <c:pt idx="2">
                  <c:v>1</c:v>
                </c:pt>
                <c:pt idx="3">
                  <c:v>1</c:v>
                </c:pt>
                <c:pt idx="4">
                  <c:v>1</c:v>
                </c:pt>
                <c:pt idx="5">
                  <c:v>1</c:v>
                </c:pt>
                <c:pt idx="6">
                  <c:v>1</c:v>
                </c:pt>
                <c:pt idx="7">
                  <c:v>1</c:v>
                </c:pt>
                <c:pt idx="8">
                  <c:v>1</c:v>
                </c:pt>
                <c:pt idx="9">
                  <c:v>1</c:v>
                </c:pt>
                <c:pt idx="10">
                  <c:v>1</c:v>
                </c:pt>
              </c:numCache>
            </c:numRef>
          </c:val>
          <c:extLst>
            <c:ext xmlns:c16="http://schemas.microsoft.com/office/drawing/2014/chart" uri="{C3380CC4-5D6E-409C-BE32-E72D297353CC}">
              <c16:uniqueId val="{00000004-69CF-43BB-AE21-7C322FD34A55}"/>
            </c:ext>
          </c:extLst>
        </c:ser>
        <c:ser>
          <c:idx val="5"/>
          <c:order val="2"/>
          <c:tx>
            <c:strRef>
              <c:f>Data!$T$15</c:f>
              <c:strCache>
                <c:ptCount val="1"/>
                <c:pt idx="0">
                  <c:v>MIl2</c:v>
                </c:pt>
              </c:strCache>
            </c:strRef>
          </c:tx>
          <c:spPr>
            <a:solidFill>
              <a:schemeClr val="bg2">
                <a:lumMod val="20000"/>
                <a:lumOff val="80000"/>
              </a:schemeClr>
            </a:solidFill>
            <a:ln>
              <a:noFill/>
            </a:ln>
            <a:effectLst/>
          </c:spPr>
          <c:invertIfNegative val="0"/>
          <c:cat>
            <c:strRef>
              <c:f>Data!$R$3:$R$13</c:f>
              <c:strCache>
                <c:ptCount val="11"/>
                <c:pt idx="0">
                  <c:v>Kriittiset
palvelut</c:v>
                </c:pt>
                <c:pt idx="1">
                  <c:v>Omaisuuden
hallinta</c:v>
                </c:pt>
                <c:pt idx="2">
                  <c:v>Uhkat ja
haavoittuvuudet</c:v>
                </c:pt>
                <c:pt idx="3">
                  <c:v>Riskien
hallinta</c:v>
                </c:pt>
                <c:pt idx="4">
                  <c:v>Pääsyn
hallinta</c:v>
                </c:pt>
                <c:pt idx="5">
                  <c:v>Tilanne
kuva</c:v>
                </c:pt>
                <c:pt idx="6">
                  <c:v>Tapahtumat
ja häiriöt</c:v>
                </c:pt>
                <c:pt idx="7">
                  <c:v>Kolmannet
osapuolet</c:v>
                </c:pt>
                <c:pt idx="8">
                  <c:v>Henkilöstön
hallinta</c:v>
                </c:pt>
                <c:pt idx="9">
                  <c:v>Kyber
arkkitehtuuri</c:v>
                </c:pt>
                <c:pt idx="10">
                  <c:v>Kyberturv.
hallinta</c:v>
                </c:pt>
              </c:strCache>
            </c:strRef>
          </c:cat>
          <c:val>
            <c:numRef>
              <c:f>Data!$T$16:$T$26</c:f>
              <c:numCache>
                <c:formatCode>General</c:formatCode>
                <c:ptCount val="11"/>
                <c:pt idx="0">
                  <c:v>1</c:v>
                </c:pt>
                <c:pt idx="1">
                  <c:v>1</c:v>
                </c:pt>
                <c:pt idx="2">
                  <c:v>1</c:v>
                </c:pt>
                <c:pt idx="3">
                  <c:v>1</c:v>
                </c:pt>
                <c:pt idx="4">
                  <c:v>1</c:v>
                </c:pt>
                <c:pt idx="5">
                  <c:v>1</c:v>
                </c:pt>
                <c:pt idx="6">
                  <c:v>1</c:v>
                </c:pt>
                <c:pt idx="7">
                  <c:v>1</c:v>
                </c:pt>
                <c:pt idx="8">
                  <c:v>1</c:v>
                </c:pt>
                <c:pt idx="9">
                  <c:v>1</c:v>
                </c:pt>
                <c:pt idx="10">
                  <c:v>1</c:v>
                </c:pt>
              </c:numCache>
            </c:numRef>
          </c:val>
          <c:extLst>
            <c:ext xmlns:c16="http://schemas.microsoft.com/office/drawing/2014/chart" uri="{C3380CC4-5D6E-409C-BE32-E72D297353CC}">
              <c16:uniqueId val="{00000005-69CF-43BB-AE21-7C322FD34A55}"/>
            </c:ext>
          </c:extLst>
        </c:ser>
        <c:ser>
          <c:idx val="6"/>
          <c:order val="3"/>
          <c:tx>
            <c:strRef>
              <c:f>Data!$U$15</c:f>
              <c:strCache>
                <c:ptCount val="1"/>
                <c:pt idx="0">
                  <c:v>MIL3</c:v>
                </c:pt>
              </c:strCache>
            </c:strRef>
          </c:tx>
          <c:spPr>
            <a:solidFill>
              <a:schemeClr val="bg2">
                <a:lumMod val="40000"/>
                <a:lumOff val="60000"/>
              </a:schemeClr>
            </a:solidFill>
            <a:ln>
              <a:noFill/>
            </a:ln>
            <a:effectLst/>
          </c:spPr>
          <c:invertIfNegative val="0"/>
          <c:cat>
            <c:strRef>
              <c:f>Data!$R$3:$R$13</c:f>
              <c:strCache>
                <c:ptCount val="11"/>
                <c:pt idx="0">
                  <c:v>Kriittiset
palvelut</c:v>
                </c:pt>
                <c:pt idx="1">
                  <c:v>Omaisuuden
hallinta</c:v>
                </c:pt>
                <c:pt idx="2">
                  <c:v>Uhkat ja
haavoittuvuudet</c:v>
                </c:pt>
                <c:pt idx="3">
                  <c:v>Riskien
hallinta</c:v>
                </c:pt>
                <c:pt idx="4">
                  <c:v>Pääsyn
hallinta</c:v>
                </c:pt>
                <c:pt idx="5">
                  <c:v>Tilanne
kuva</c:v>
                </c:pt>
                <c:pt idx="6">
                  <c:v>Tapahtumat
ja häiriöt</c:v>
                </c:pt>
                <c:pt idx="7">
                  <c:v>Kolmannet
osapuolet</c:v>
                </c:pt>
                <c:pt idx="8">
                  <c:v>Henkilöstön
hallinta</c:v>
                </c:pt>
                <c:pt idx="9">
                  <c:v>Kyber
arkkitehtuuri</c:v>
                </c:pt>
                <c:pt idx="10">
                  <c:v>Kyberturv.
hallinta</c:v>
                </c:pt>
              </c:strCache>
            </c:strRef>
          </c:cat>
          <c:val>
            <c:numRef>
              <c:f>Data!$U$16:$U$26</c:f>
              <c:numCache>
                <c:formatCode>General</c:formatCode>
                <c:ptCount val="11"/>
                <c:pt idx="0">
                  <c:v>0.5</c:v>
                </c:pt>
                <c:pt idx="1">
                  <c:v>0.5</c:v>
                </c:pt>
                <c:pt idx="2">
                  <c:v>0.5</c:v>
                </c:pt>
                <c:pt idx="3">
                  <c:v>0.5</c:v>
                </c:pt>
                <c:pt idx="4">
                  <c:v>0.5</c:v>
                </c:pt>
                <c:pt idx="5">
                  <c:v>0.5</c:v>
                </c:pt>
                <c:pt idx="6">
                  <c:v>0.5</c:v>
                </c:pt>
                <c:pt idx="7">
                  <c:v>0.5</c:v>
                </c:pt>
                <c:pt idx="8">
                  <c:v>0.5</c:v>
                </c:pt>
                <c:pt idx="9">
                  <c:v>0.5</c:v>
                </c:pt>
                <c:pt idx="10">
                  <c:v>0.5</c:v>
                </c:pt>
              </c:numCache>
            </c:numRef>
          </c:val>
          <c:extLst>
            <c:ext xmlns:c16="http://schemas.microsoft.com/office/drawing/2014/chart" uri="{C3380CC4-5D6E-409C-BE32-E72D297353CC}">
              <c16:uniqueId val="{00000006-69CF-43BB-AE21-7C322FD34A55}"/>
            </c:ext>
          </c:extLst>
        </c:ser>
        <c:dLbls>
          <c:showLegendKey val="0"/>
          <c:showVal val="0"/>
          <c:showCatName val="0"/>
          <c:showSerName val="0"/>
          <c:showPercent val="0"/>
          <c:showBubbleSize val="0"/>
        </c:dLbls>
        <c:gapWidth val="0"/>
        <c:overlap val="100"/>
        <c:axId val="1856652208"/>
        <c:axId val="1856653456"/>
      </c:barChart>
      <c:barChart>
        <c:barDir val="col"/>
        <c:grouping val="clustered"/>
        <c:varyColors val="0"/>
        <c:ser>
          <c:idx val="0"/>
          <c:order val="4"/>
          <c:tx>
            <c:strRef>
              <c:f>Data!$U$2</c:f>
              <c:strCache>
                <c:ptCount val="1"/>
                <c:pt idx="0">
                  <c:v>Edellinen</c:v>
                </c:pt>
              </c:strCache>
            </c:strRef>
          </c:tx>
          <c:spPr>
            <a:solidFill>
              <a:schemeClr val="bg1">
                <a:lumMod val="75000"/>
              </a:schemeClr>
            </a:solidFill>
            <a:ln w="9525">
              <a:solidFill>
                <a:schemeClr val="tx1">
                  <a:lumMod val="50000"/>
                  <a:lumOff val="50000"/>
                </a:schemeClr>
              </a:solidFill>
            </a:ln>
            <a:effectLst/>
          </c:spPr>
          <c:invertIfNegative val="0"/>
          <c:dLbls>
            <c:spPr>
              <a:solidFill>
                <a:schemeClr val="bg1">
                  <a:lumMod val="75000"/>
                </a:schemeClr>
              </a:solidFill>
              <a:ln>
                <a:solidFill>
                  <a:schemeClr val="tx1">
                    <a:lumMod val="50000"/>
                    <a:lumOff val="50000"/>
                  </a:schemeClr>
                </a:solidFill>
              </a:ln>
              <a:effectLst/>
            </c:spPr>
            <c:txPr>
              <a:bodyPr rot="0" spcFirstLastPara="1" vertOverflow="ellipsis" vert="horz" wrap="square" lIns="38100" tIns="19050" rIns="38100" bIns="19050" anchor="ctr" anchorCtr="1">
                <a:spAutoFit/>
              </a:bodyPr>
              <a:lstStyle/>
              <a:p>
                <a:pPr>
                  <a:defRPr sz="900" b="0" i="0" u="none" strike="noStrike" baseline="0">
                    <a:solidFill>
                      <a:schemeClr val="tx1">
                        <a:lumMod val="65000"/>
                        <a:lumOff val="35000"/>
                      </a:schemeClr>
                    </a:solidFill>
                    <a:latin typeface="+mn-lt"/>
                    <a:ea typeface="+mn-ea"/>
                    <a:cs typeface="+mn-cs"/>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Data!$Q$3:$Q$13</c:f>
              <c:strCache>
                <c:ptCount val="11"/>
                <c:pt idx="0">
                  <c:v>CRITICAL</c:v>
                </c:pt>
                <c:pt idx="1">
                  <c:v>ASSET</c:v>
                </c:pt>
                <c:pt idx="2">
                  <c:v>THREAT</c:v>
                </c:pt>
                <c:pt idx="3">
                  <c:v>RISK</c:v>
                </c:pt>
                <c:pt idx="4">
                  <c:v>ACCESS</c:v>
                </c:pt>
                <c:pt idx="5">
                  <c:v>SITUATION</c:v>
                </c:pt>
                <c:pt idx="6">
                  <c:v>RESPONSE</c:v>
                </c:pt>
                <c:pt idx="7">
                  <c:v>THIRDPARTY</c:v>
                </c:pt>
                <c:pt idx="8">
                  <c:v>WORKFORCE</c:v>
                </c:pt>
                <c:pt idx="9">
                  <c:v>ARCHITECTURE</c:v>
                </c:pt>
                <c:pt idx="10">
                  <c:v>PROGRAM</c:v>
                </c:pt>
              </c:strCache>
            </c:strRef>
          </c:cat>
          <c:val>
            <c:numRef>
              <c:f>Data!$U$3:$U$13</c:f>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0-F7D8-412C-AE0C-62A8143B0BCA}"/>
            </c:ext>
          </c:extLst>
        </c:ser>
        <c:ser>
          <c:idx val="1"/>
          <c:order val="5"/>
          <c:tx>
            <c:strRef>
              <c:f>Data!$T$2</c:f>
              <c:strCache>
                <c:ptCount val="1"/>
                <c:pt idx="0">
                  <c:v>Nykytila</c:v>
                </c:pt>
              </c:strCache>
            </c:strRef>
          </c:tx>
          <c:spPr>
            <a:solidFill>
              <a:schemeClr val="bg2">
                <a:lumMod val="60000"/>
                <a:lumOff val="40000"/>
              </a:schemeClr>
            </a:solidFill>
            <a:ln w="15875">
              <a:solidFill>
                <a:schemeClr val="bg2">
                  <a:lumMod val="60000"/>
                  <a:lumOff val="40000"/>
                </a:schemeClr>
              </a:solidFill>
            </a:ln>
            <a:effectLst/>
          </c:spPr>
          <c:invertIfNegative val="0"/>
          <c:dLbls>
            <c:spPr>
              <a:solidFill>
                <a:schemeClr val="bg2">
                  <a:lumMod val="60000"/>
                  <a:lumOff val="40000"/>
                </a:schemeClr>
              </a:solidFill>
              <a:ln>
                <a:solidFill>
                  <a:schemeClr val="tx1">
                    <a:lumMod val="50000"/>
                    <a:lumOff val="50000"/>
                  </a:schemeClr>
                </a:solidFill>
              </a:ln>
              <a:effectLst/>
            </c:spPr>
            <c:txPr>
              <a:bodyPr rot="0" spcFirstLastPara="1" vertOverflow="ellipsis" vert="horz" wrap="square" lIns="38100" tIns="19050" rIns="38100" bIns="19050" anchor="ctr" anchorCtr="1">
                <a:spAutoFit/>
              </a:bodyPr>
              <a:lstStyle/>
              <a:p>
                <a:pPr>
                  <a:defRPr sz="900" b="0" i="0" u="none" strike="noStrike" baseline="0">
                    <a:solidFill>
                      <a:schemeClr val="tx1">
                        <a:lumMod val="65000"/>
                        <a:lumOff val="35000"/>
                      </a:schemeClr>
                    </a:solidFill>
                    <a:latin typeface="+mn-lt"/>
                    <a:ea typeface="+mn-ea"/>
                    <a:cs typeface="+mn-cs"/>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Data!$Q$3:$Q$13</c:f>
              <c:strCache>
                <c:ptCount val="11"/>
                <c:pt idx="0">
                  <c:v>CRITICAL</c:v>
                </c:pt>
                <c:pt idx="1">
                  <c:v>ASSET</c:v>
                </c:pt>
                <c:pt idx="2">
                  <c:v>THREAT</c:v>
                </c:pt>
                <c:pt idx="3">
                  <c:v>RISK</c:v>
                </c:pt>
                <c:pt idx="4">
                  <c:v>ACCESS</c:v>
                </c:pt>
                <c:pt idx="5">
                  <c:v>SITUATION</c:v>
                </c:pt>
                <c:pt idx="6">
                  <c:v>RESPONSE</c:v>
                </c:pt>
                <c:pt idx="7">
                  <c:v>THIRDPARTY</c:v>
                </c:pt>
                <c:pt idx="8">
                  <c:v>WORKFORCE</c:v>
                </c:pt>
                <c:pt idx="9">
                  <c:v>ARCHITECTURE</c:v>
                </c:pt>
                <c:pt idx="10">
                  <c:v>PROGRAM</c:v>
                </c:pt>
              </c:strCache>
            </c:strRef>
          </c:cat>
          <c:val>
            <c:numRef>
              <c:f>Data!$T$3:$T$13</c:f>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1-69CF-43BB-AE21-7C322FD34A55}"/>
            </c:ext>
          </c:extLst>
        </c:ser>
        <c:ser>
          <c:idx val="2"/>
          <c:order val="6"/>
          <c:tx>
            <c:strRef>
              <c:f>Data!$S$2</c:f>
              <c:strCache>
                <c:ptCount val="1"/>
                <c:pt idx="0">
                  <c:v>Kyberturvallisuuden kypsyystaso</c:v>
                </c:pt>
              </c:strCache>
            </c:strRef>
          </c:tx>
          <c:spPr>
            <a:solidFill>
              <a:srgbClr val="0058B1">
                <a:alpha val="89000"/>
              </a:srgbClr>
            </a:solidFill>
            <a:ln w="15875">
              <a:solidFill>
                <a:schemeClr val="bg2">
                  <a:lumMod val="75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baseline="0">
                    <a:solidFill>
                      <a:schemeClr val="bg1"/>
                    </a:solidFill>
                    <a:latin typeface="+mn-lt"/>
                    <a:ea typeface="+mn-ea"/>
                    <a:cs typeface="+mn-cs"/>
                  </a:defRPr>
                </a:pPr>
                <a:endParaRPr lang="fi-FI"/>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Data!$Q$3:$Q$13</c:f>
              <c:strCache>
                <c:ptCount val="11"/>
                <c:pt idx="0">
                  <c:v>CRITICAL</c:v>
                </c:pt>
                <c:pt idx="1">
                  <c:v>ASSET</c:v>
                </c:pt>
                <c:pt idx="2">
                  <c:v>THREAT</c:v>
                </c:pt>
                <c:pt idx="3">
                  <c:v>RISK</c:v>
                </c:pt>
                <c:pt idx="4">
                  <c:v>ACCESS</c:v>
                </c:pt>
                <c:pt idx="5">
                  <c:v>SITUATION</c:v>
                </c:pt>
                <c:pt idx="6">
                  <c:v>RESPONSE</c:v>
                </c:pt>
                <c:pt idx="7">
                  <c:v>THIRDPARTY</c:v>
                </c:pt>
                <c:pt idx="8">
                  <c:v>WORKFORCE</c:v>
                </c:pt>
                <c:pt idx="9">
                  <c:v>ARCHITECTURE</c:v>
                </c:pt>
                <c:pt idx="10">
                  <c:v>PROGRAM</c:v>
                </c:pt>
              </c:strCache>
            </c:strRef>
          </c:cat>
          <c:val>
            <c:numRef>
              <c:f>Data!$S$3:$S$13</c:f>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2-69CF-43BB-AE21-7C322FD34A55}"/>
            </c:ext>
          </c:extLst>
        </c:ser>
        <c:dLbls>
          <c:showLegendKey val="0"/>
          <c:showVal val="0"/>
          <c:showCatName val="0"/>
          <c:showSerName val="0"/>
          <c:showPercent val="0"/>
          <c:showBubbleSize val="0"/>
        </c:dLbls>
        <c:gapWidth val="65"/>
        <c:overlap val="65"/>
        <c:axId val="257075768"/>
        <c:axId val="329287672"/>
      </c:barChart>
      <c:catAx>
        <c:axId val="185665220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baseline="0">
                <a:solidFill>
                  <a:srgbClr val="0058B1"/>
                </a:solidFill>
                <a:latin typeface="+mn-lt"/>
                <a:ea typeface="+mn-ea"/>
                <a:cs typeface="+mn-cs"/>
              </a:defRPr>
            </a:pPr>
            <a:endParaRPr lang="fi-FI"/>
          </a:p>
        </c:txPr>
        <c:crossAx val="1856653456"/>
        <c:crossesAt val="0"/>
        <c:auto val="1"/>
        <c:lblAlgn val="ctr"/>
        <c:lblOffset val="100"/>
        <c:noMultiLvlLbl val="0"/>
      </c:catAx>
      <c:valAx>
        <c:axId val="1856653456"/>
        <c:scaling>
          <c:orientation val="minMax"/>
          <c:max val="3.2"/>
          <c:min val="0"/>
        </c:scaling>
        <c:delete val="1"/>
        <c:axPos val="l"/>
        <c:numFmt formatCode="General" sourceLinked="1"/>
        <c:majorTickMark val="none"/>
        <c:minorTickMark val="none"/>
        <c:tickLblPos val="high"/>
        <c:crossAx val="1856652208"/>
        <c:crosses val="autoZero"/>
        <c:crossBetween val="between"/>
        <c:majorUnit val="1"/>
      </c:valAx>
      <c:valAx>
        <c:axId val="329287672"/>
        <c:scaling>
          <c:orientation val="minMax"/>
          <c:max val="3.2"/>
          <c:min val="0"/>
        </c:scaling>
        <c:delete val="1"/>
        <c:axPos val="l"/>
        <c:numFmt formatCode="General" sourceLinked="1"/>
        <c:majorTickMark val="out"/>
        <c:minorTickMark val="none"/>
        <c:tickLblPos val="nextTo"/>
        <c:crossAx val="257075768"/>
        <c:crosses val="autoZero"/>
        <c:crossBetween val="between"/>
        <c:majorUnit val="1"/>
      </c:valAx>
      <c:catAx>
        <c:axId val="257075768"/>
        <c:scaling>
          <c:orientation val="minMax"/>
        </c:scaling>
        <c:delete val="1"/>
        <c:axPos val="b"/>
        <c:numFmt formatCode="General" sourceLinked="1"/>
        <c:majorTickMark val="out"/>
        <c:minorTickMark val="none"/>
        <c:tickLblPos val="nextTo"/>
        <c:crossAx val="329287672"/>
        <c:crosses val="autoZero"/>
        <c:auto val="1"/>
        <c:lblAlgn val="ctr"/>
        <c:lblOffset val="100"/>
        <c:noMultiLvlLbl val="0"/>
      </c:catAx>
      <c:spPr>
        <a:noFill/>
        <a:ln w="25400">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47625" cap="flat" cmpd="sng" algn="ctr">
      <a:noFill/>
      <a:round/>
    </a:ln>
    <a:effectLst/>
  </c:spPr>
  <c:txPr>
    <a:bodyPr/>
    <a:lstStyle/>
    <a:p>
      <a:pPr>
        <a:defRPr/>
      </a:pPr>
      <a:endParaRPr lang="fi-FI"/>
    </a:p>
  </c:txPr>
  <c:printSettings>
    <c:headerFooter/>
    <c:pageMargins b="0.75" l="0.7" r="0.7"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'R7'!$V$26</c:f>
          <c:strCache>
            <c:ptCount val="1"/>
            <c:pt idx="0">
              <c:v>8</c:v>
            </c:pt>
          </c:strCache>
        </c:strRef>
      </c:tx>
      <c:layout>
        <c:manualLayout>
          <c:xMode val="edge"/>
          <c:yMode val="edge"/>
          <c:x val="0.40932889514267373"/>
          <c:y val="0.42495347222222224"/>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fi-FI"/>
        </a:p>
      </c:txPr>
    </c:title>
    <c:autoTitleDeleted val="0"/>
    <c:plotArea>
      <c:layout>
        <c:manualLayout>
          <c:layoutTarget val="inner"/>
          <c:xMode val="edge"/>
          <c:yMode val="edge"/>
          <c:x val="5.1423611111111114E-2"/>
          <c:y val="4.0890972222222224E-2"/>
          <c:w val="0.94501033628999298"/>
          <c:h val="0.96979218540657131"/>
        </c:manualLayout>
      </c:layout>
      <c:doughnutChart>
        <c:varyColors val="1"/>
        <c:ser>
          <c:idx val="0"/>
          <c:order val="0"/>
          <c:dPt>
            <c:idx val="0"/>
            <c:bubble3D val="0"/>
            <c:spPr>
              <a:solidFill>
                <a:srgbClr val="159637"/>
              </a:solidFill>
              <a:ln w="19050">
                <a:solidFill>
                  <a:schemeClr val="lt1"/>
                </a:solidFill>
              </a:ln>
              <a:effectLst/>
            </c:spPr>
            <c:extLst>
              <c:ext xmlns:c16="http://schemas.microsoft.com/office/drawing/2014/chart" uri="{C3380CC4-5D6E-409C-BE32-E72D297353CC}">
                <c16:uniqueId val="{00000001-50DC-467A-BBBC-E81E8E9EDF8B}"/>
              </c:ext>
            </c:extLst>
          </c:dPt>
          <c:dPt>
            <c:idx val="1"/>
            <c:bubble3D val="0"/>
            <c:spPr>
              <a:solidFill>
                <a:srgbClr val="92D050"/>
              </a:solidFill>
              <a:ln w="19050">
                <a:solidFill>
                  <a:schemeClr val="lt1"/>
                </a:solidFill>
              </a:ln>
              <a:effectLst/>
            </c:spPr>
            <c:extLst>
              <c:ext xmlns:c16="http://schemas.microsoft.com/office/drawing/2014/chart" uri="{C3380CC4-5D6E-409C-BE32-E72D297353CC}">
                <c16:uniqueId val="{00000003-50DC-467A-BBBC-E81E8E9EDF8B}"/>
              </c:ext>
            </c:extLst>
          </c:dPt>
          <c:dPt>
            <c:idx val="2"/>
            <c:bubble3D val="0"/>
            <c:spPr>
              <a:solidFill>
                <a:srgbClr val="FFC000"/>
              </a:solidFill>
              <a:ln w="19050">
                <a:solidFill>
                  <a:schemeClr val="lt1"/>
                </a:solidFill>
              </a:ln>
              <a:effectLst/>
            </c:spPr>
            <c:extLst>
              <c:ext xmlns:c16="http://schemas.microsoft.com/office/drawing/2014/chart" uri="{C3380CC4-5D6E-409C-BE32-E72D297353CC}">
                <c16:uniqueId val="{00000005-50DC-467A-BBBC-E81E8E9EDF8B}"/>
              </c:ext>
            </c:extLst>
          </c:dPt>
          <c:dPt>
            <c:idx val="3"/>
            <c:bubble3D val="0"/>
            <c:spPr>
              <a:solidFill>
                <a:srgbClr val="FF0000"/>
              </a:solidFill>
              <a:ln w="19050">
                <a:solidFill>
                  <a:schemeClr val="lt1"/>
                </a:solidFill>
              </a:ln>
              <a:effectLst/>
            </c:spPr>
            <c:extLst>
              <c:ext xmlns:c16="http://schemas.microsoft.com/office/drawing/2014/chart" uri="{C3380CC4-5D6E-409C-BE32-E72D297353CC}">
                <c16:uniqueId val="{00000007-50DC-467A-BBBC-E81E8E9EDF8B}"/>
              </c:ext>
            </c:extLst>
          </c:dPt>
          <c:dPt>
            <c:idx val="4"/>
            <c:bubble3D val="0"/>
            <c:spPr>
              <a:solidFill>
                <a:srgbClr val="FCEFE0"/>
              </a:solidFill>
              <a:ln w="19050">
                <a:solidFill>
                  <a:schemeClr val="lt1"/>
                </a:solidFill>
              </a:ln>
              <a:effectLst/>
            </c:spPr>
            <c:extLst>
              <c:ext xmlns:c16="http://schemas.microsoft.com/office/drawing/2014/chart" uri="{C3380CC4-5D6E-409C-BE32-E72D297353CC}">
                <c16:uniqueId val="{00000009-50DC-467A-BBBC-E81E8E9EDF8B}"/>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fi-FI"/>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val>
            <c:numRef>
              <c:f>'R7'!$V$27:$V$31</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A-50DC-467A-BBBC-E81E8E9EDF8B}"/>
            </c:ext>
          </c:extLst>
        </c:ser>
        <c:dLbls>
          <c:showLegendKey val="0"/>
          <c:showVal val="0"/>
          <c:showCatName val="0"/>
          <c:showSerName val="0"/>
          <c:showPercent val="0"/>
          <c:showBubbleSize val="0"/>
          <c:showLeaderLines val="1"/>
        </c:dLbls>
        <c:firstSliceAng val="0"/>
        <c:holeSize val="40"/>
      </c:doughnut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fi-FI"/>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'R7'!$R$38</c:f>
          <c:strCache>
            <c:ptCount val="1"/>
            <c:pt idx="0">
              <c:v>10</c:v>
            </c:pt>
          </c:strCache>
        </c:strRef>
      </c:tx>
      <c:layout>
        <c:manualLayout>
          <c:xMode val="edge"/>
          <c:yMode val="edge"/>
          <c:x val="0.4553388888888889"/>
          <c:y val="0.42495347222222224"/>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fi-FI"/>
        </a:p>
      </c:txPr>
    </c:title>
    <c:autoTitleDeleted val="0"/>
    <c:plotArea>
      <c:layout>
        <c:manualLayout>
          <c:layoutTarget val="inner"/>
          <c:xMode val="edge"/>
          <c:yMode val="edge"/>
          <c:x val="5.1423611111111114E-2"/>
          <c:y val="4.0890972222222224E-2"/>
          <c:w val="0.94501033628999298"/>
          <c:h val="0.96979218540657131"/>
        </c:manualLayout>
      </c:layout>
      <c:doughnutChart>
        <c:varyColors val="1"/>
        <c:ser>
          <c:idx val="0"/>
          <c:order val="0"/>
          <c:dPt>
            <c:idx val="0"/>
            <c:bubble3D val="0"/>
            <c:spPr>
              <a:solidFill>
                <a:srgbClr val="159637"/>
              </a:solidFill>
              <a:ln w="19050">
                <a:solidFill>
                  <a:schemeClr val="lt1"/>
                </a:solidFill>
              </a:ln>
              <a:effectLst/>
            </c:spPr>
            <c:extLst>
              <c:ext xmlns:c16="http://schemas.microsoft.com/office/drawing/2014/chart" uri="{C3380CC4-5D6E-409C-BE32-E72D297353CC}">
                <c16:uniqueId val="{00000001-9A29-452E-9BF4-731893AD928D}"/>
              </c:ext>
            </c:extLst>
          </c:dPt>
          <c:dPt>
            <c:idx val="1"/>
            <c:bubble3D val="0"/>
            <c:spPr>
              <a:solidFill>
                <a:srgbClr val="92D050"/>
              </a:solidFill>
              <a:ln w="19050">
                <a:solidFill>
                  <a:schemeClr val="lt1"/>
                </a:solidFill>
              </a:ln>
              <a:effectLst/>
            </c:spPr>
            <c:extLst>
              <c:ext xmlns:c16="http://schemas.microsoft.com/office/drawing/2014/chart" uri="{C3380CC4-5D6E-409C-BE32-E72D297353CC}">
                <c16:uniqueId val="{00000003-9A29-452E-9BF4-731893AD928D}"/>
              </c:ext>
            </c:extLst>
          </c:dPt>
          <c:dPt>
            <c:idx val="2"/>
            <c:bubble3D val="0"/>
            <c:spPr>
              <a:solidFill>
                <a:srgbClr val="FFC000"/>
              </a:solidFill>
              <a:ln w="19050">
                <a:solidFill>
                  <a:schemeClr val="lt1"/>
                </a:solidFill>
              </a:ln>
              <a:effectLst/>
            </c:spPr>
            <c:extLst>
              <c:ext xmlns:c16="http://schemas.microsoft.com/office/drawing/2014/chart" uri="{C3380CC4-5D6E-409C-BE32-E72D297353CC}">
                <c16:uniqueId val="{00000005-9A29-452E-9BF4-731893AD928D}"/>
              </c:ext>
            </c:extLst>
          </c:dPt>
          <c:dPt>
            <c:idx val="3"/>
            <c:bubble3D val="0"/>
            <c:spPr>
              <a:solidFill>
                <a:srgbClr val="FF0000"/>
              </a:solidFill>
              <a:ln w="19050">
                <a:solidFill>
                  <a:schemeClr val="lt1"/>
                </a:solidFill>
              </a:ln>
              <a:effectLst/>
            </c:spPr>
            <c:extLst>
              <c:ext xmlns:c16="http://schemas.microsoft.com/office/drawing/2014/chart" uri="{C3380CC4-5D6E-409C-BE32-E72D297353CC}">
                <c16:uniqueId val="{00000007-9A29-452E-9BF4-731893AD928D}"/>
              </c:ext>
            </c:extLst>
          </c:dPt>
          <c:dPt>
            <c:idx val="4"/>
            <c:bubble3D val="0"/>
            <c:spPr>
              <a:solidFill>
                <a:srgbClr val="FCEFE0"/>
              </a:solidFill>
              <a:ln w="19050">
                <a:solidFill>
                  <a:schemeClr val="lt1"/>
                </a:solidFill>
              </a:ln>
              <a:effectLst/>
            </c:spPr>
            <c:extLst>
              <c:ext xmlns:c16="http://schemas.microsoft.com/office/drawing/2014/chart" uri="{C3380CC4-5D6E-409C-BE32-E72D297353CC}">
                <c16:uniqueId val="{00000009-9A29-452E-9BF4-731893AD928D}"/>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fi-FI"/>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val>
            <c:numRef>
              <c:f>'R7'!$R$39:$R$43</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A-9A29-452E-9BF4-731893AD928D}"/>
            </c:ext>
          </c:extLst>
        </c:ser>
        <c:dLbls>
          <c:showLegendKey val="0"/>
          <c:showVal val="0"/>
          <c:showCatName val="0"/>
          <c:showSerName val="0"/>
          <c:showPercent val="0"/>
          <c:showBubbleSize val="0"/>
          <c:showLeaderLines val="1"/>
        </c:dLbls>
        <c:firstSliceAng val="0"/>
        <c:holeSize val="40"/>
      </c:doughnut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fi-FI"/>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'R7'!$W$26</c:f>
          <c:strCache>
            <c:ptCount val="1"/>
            <c:pt idx="0">
              <c:v>14</c:v>
            </c:pt>
          </c:strCache>
        </c:strRef>
      </c:tx>
      <c:layout>
        <c:manualLayout>
          <c:xMode val="edge"/>
          <c:yMode val="edge"/>
          <c:x val="0.40932889514267373"/>
          <c:y val="0.42495347222222224"/>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fi-FI"/>
        </a:p>
      </c:txPr>
    </c:title>
    <c:autoTitleDeleted val="0"/>
    <c:plotArea>
      <c:layout>
        <c:manualLayout>
          <c:layoutTarget val="inner"/>
          <c:xMode val="edge"/>
          <c:yMode val="edge"/>
          <c:x val="5.1423611111111114E-2"/>
          <c:y val="4.0890972222222224E-2"/>
          <c:w val="0.94501033628999298"/>
          <c:h val="0.96979218540657131"/>
        </c:manualLayout>
      </c:layout>
      <c:doughnutChart>
        <c:varyColors val="1"/>
        <c:ser>
          <c:idx val="0"/>
          <c:order val="0"/>
          <c:dPt>
            <c:idx val="0"/>
            <c:bubble3D val="0"/>
            <c:spPr>
              <a:solidFill>
                <a:srgbClr val="159637"/>
              </a:solidFill>
              <a:ln w="19050">
                <a:solidFill>
                  <a:schemeClr val="lt1"/>
                </a:solidFill>
              </a:ln>
              <a:effectLst/>
            </c:spPr>
            <c:extLst>
              <c:ext xmlns:c16="http://schemas.microsoft.com/office/drawing/2014/chart" uri="{C3380CC4-5D6E-409C-BE32-E72D297353CC}">
                <c16:uniqueId val="{00000001-A075-40F3-9DE0-5A4632A706E9}"/>
              </c:ext>
            </c:extLst>
          </c:dPt>
          <c:dPt>
            <c:idx val="1"/>
            <c:bubble3D val="0"/>
            <c:spPr>
              <a:solidFill>
                <a:srgbClr val="92D050"/>
              </a:solidFill>
              <a:ln w="19050">
                <a:solidFill>
                  <a:schemeClr val="lt1"/>
                </a:solidFill>
              </a:ln>
              <a:effectLst/>
            </c:spPr>
            <c:extLst>
              <c:ext xmlns:c16="http://schemas.microsoft.com/office/drawing/2014/chart" uri="{C3380CC4-5D6E-409C-BE32-E72D297353CC}">
                <c16:uniqueId val="{00000003-A075-40F3-9DE0-5A4632A706E9}"/>
              </c:ext>
            </c:extLst>
          </c:dPt>
          <c:dPt>
            <c:idx val="2"/>
            <c:bubble3D val="0"/>
            <c:spPr>
              <a:solidFill>
                <a:srgbClr val="FFC000"/>
              </a:solidFill>
              <a:ln w="19050">
                <a:solidFill>
                  <a:schemeClr val="lt1"/>
                </a:solidFill>
              </a:ln>
              <a:effectLst/>
            </c:spPr>
            <c:extLst>
              <c:ext xmlns:c16="http://schemas.microsoft.com/office/drawing/2014/chart" uri="{C3380CC4-5D6E-409C-BE32-E72D297353CC}">
                <c16:uniqueId val="{00000005-A075-40F3-9DE0-5A4632A706E9}"/>
              </c:ext>
            </c:extLst>
          </c:dPt>
          <c:dPt>
            <c:idx val="3"/>
            <c:bubble3D val="0"/>
            <c:spPr>
              <a:solidFill>
                <a:srgbClr val="FF0000"/>
              </a:solidFill>
              <a:ln w="19050">
                <a:solidFill>
                  <a:schemeClr val="lt1"/>
                </a:solidFill>
              </a:ln>
              <a:effectLst/>
            </c:spPr>
            <c:extLst>
              <c:ext xmlns:c16="http://schemas.microsoft.com/office/drawing/2014/chart" uri="{C3380CC4-5D6E-409C-BE32-E72D297353CC}">
                <c16:uniqueId val="{00000007-A075-40F3-9DE0-5A4632A706E9}"/>
              </c:ext>
            </c:extLst>
          </c:dPt>
          <c:dPt>
            <c:idx val="4"/>
            <c:bubble3D val="0"/>
            <c:spPr>
              <a:solidFill>
                <a:srgbClr val="FCEFE0"/>
              </a:solidFill>
              <a:ln w="19050">
                <a:solidFill>
                  <a:schemeClr val="lt1"/>
                </a:solidFill>
              </a:ln>
              <a:effectLst/>
            </c:spPr>
            <c:extLst>
              <c:ext xmlns:c16="http://schemas.microsoft.com/office/drawing/2014/chart" uri="{C3380CC4-5D6E-409C-BE32-E72D297353CC}">
                <c16:uniqueId val="{00000009-A075-40F3-9DE0-5A4632A706E9}"/>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fi-FI"/>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val>
            <c:numRef>
              <c:f>'R7'!$W$27:$W$31</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A-A075-40F3-9DE0-5A4632A706E9}"/>
            </c:ext>
          </c:extLst>
        </c:ser>
        <c:dLbls>
          <c:showLegendKey val="0"/>
          <c:showVal val="0"/>
          <c:showCatName val="0"/>
          <c:showSerName val="0"/>
          <c:showPercent val="0"/>
          <c:showBubbleSize val="0"/>
          <c:showLeaderLines val="1"/>
        </c:dLbls>
        <c:firstSliceAng val="0"/>
        <c:holeSize val="40"/>
      </c:doughnut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fi-FI"/>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'R7'!$W$32</c:f>
          <c:strCache>
            <c:ptCount val="1"/>
            <c:pt idx="0">
              <c:v>12</c:v>
            </c:pt>
          </c:strCache>
        </c:strRef>
      </c:tx>
      <c:layout>
        <c:manualLayout>
          <c:xMode val="edge"/>
          <c:yMode val="edge"/>
          <c:x val="0.43683950631670487"/>
          <c:y val="0.42495347222222224"/>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fi-FI"/>
        </a:p>
      </c:txPr>
    </c:title>
    <c:autoTitleDeleted val="0"/>
    <c:plotArea>
      <c:layout>
        <c:manualLayout>
          <c:layoutTarget val="inner"/>
          <c:xMode val="edge"/>
          <c:yMode val="edge"/>
          <c:x val="5.1423611111111114E-2"/>
          <c:y val="4.0890972222222224E-2"/>
          <c:w val="0.94501033628999298"/>
          <c:h val="0.96979218540657131"/>
        </c:manualLayout>
      </c:layout>
      <c:doughnutChart>
        <c:varyColors val="1"/>
        <c:ser>
          <c:idx val="0"/>
          <c:order val="0"/>
          <c:dPt>
            <c:idx val="0"/>
            <c:bubble3D val="0"/>
            <c:spPr>
              <a:solidFill>
                <a:srgbClr val="159637"/>
              </a:solidFill>
              <a:ln w="19050">
                <a:solidFill>
                  <a:schemeClr val="lt1"/>
                </a:solidFill>
              </a:ln>
              <a:effectLst/>
            </c:spPr>
            <c:extLst>
              <c:ext xmlns:c16="http://schemas.microsoft.com/office/drawing/2014/chart" uri="{C3380CC4-5D6E-409C-BE32-E72D297353CC}">
                <c16:uniqueId val="{00000001-0C7C-4C82-B6EC-77DECF7EAD6C}"/>
              </c:ext>
            </c:extLst>
          </c:dPt>
          <c:dPt>
            <c:idx val="1"/>
            <c:bubble3D val="0"/>
            <c:spPr>
              <a:solidFill>
                <a:srgbClr val="92D050"/>
              </a:solidFill>
              <a:ln w="19050">
                <a:solidFill>
                  <a:schemeClr val="lt1"/>
                </a:solidFill>
              </a:ln>
              <a:effectLst/>
            </c:spPr>
            <c:extLst>
              <c:ext xmlns:c16="http://schemas.microsoft.com/office/drawing/2014/chart" uri="{C3380CC4-5D6E-409C-BE32-E72D297353CC}">
                <c16:uniqueId val="{00000003-0C7C-4C82-B6EC-77DECF7EAD6C}"/>
              </c:ext>
            </c:extLst>
          </c:dPt>
          <c:dPt>
            <c:idx val="2"/>
            <c:bubble3D val="0"/>
            <c:spPr>
              <a:solidFill>
                <a:srgbClr val="FFC000"/>
              </a:solidFill>
              <a:ln w="19050">
                <a:solidFill>
                  <a:schemeClr val="lt1"/>
                </a:solidFill>
              </a:ln>
              <a:effectLst/>
            </c:spPr>
            <c:extLst>
              <c:ext xmlns:c16="http://schemas.microsoft.com/office/drawing/2014/chart" uri="{C3380CC4-5D6E-409C-BE32-E72D297353CC}">
                <c16:uniqueId val="{00000005-0C7C-4C82-B6EC-77DECF7EAD6C}"/>
              </c:ext>
            </c:extLst>
          </c:dPt>
          <c:dPt>
            <c:idx val="3"/>
            <c:bubble3D val="0"/>
            <c:spPr>
              <a:solidFill>
                <a:srgbClr val="FF0000"/>
              </a:solidFill>
              <a:ln w="19050">
                <a:solidFill>
                  <a:schemeClr val="lt1"/>
                </a:solidFill>
              </a:ln>
              <a:effectLst/>
            </c:spPr>
            <c:extLst>
              <c:ext xmlns:c16="http://schemas.microsoft.com/office/drawing/2014/chart" uri="{C3380CC4-5D6E-409C-BE32-E72D297353CC}">
                <c16:uniqueId val="{00000007-0C7C-4C82-B6EC-77DECF7EAD6C}"/>
              </c:ext>
            </c:extLst>
          </c:dPt>
          <c:dPt>
            <c:idx val="4"/>
            <c:bubble3D val="0"/>
            <c:spPr>
              <a:solidFill>
                <a:srgbClr val="FCEFE0"/>
              </a:solidFill>
              <a:ln w="19050">
                <a:solidFill>
                  <a:schemeClr val="lt1"/>
                </a:solidFill>
              </a:ln>
              <a:effectLst/>
            </c:spPr>
            <c:extLst>
              <c:ext xmlns:c16="http://schemas.microsoft.com/office/drawing/2014/chart" uri="{C3380CC4-5D6E-409C-BE32-E72D297353CC}">
                <c16:uniqueId val="{00000009-0C7C-4C82-B6EC-77DECF7EAD6C}"/>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fi-FI"/>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val>
            <c:numRef>
              <c:f>'R7'!$W$33:$W$37</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A-0C7C-4C82-B6EC-77DECF7EAD6C}"/>
            </c:ext>
          </c:extLst>
        </c:ser>
        <c:dLbls>
          <c:showLegendKey val="0"/>
          <c:showVal val="0"/>
          <c:showCatName val="0"/>
          <c:showSerName val="0"/>
          <c:showPercent val="0"/>
          <c:showBubbleSize val="0"/>
          <c:showLeaderLines val="1"/>
        </c:dLbls>
        <c:firstSliceAng val="0"/>
        <c:holeSize val="40"/>
      </c:doughnut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fi-FI"/>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'R7'!$X$26</c:f>
          <c:strCache>
            <c:ptCount val="1"/>
            <c:pt idx="0">
              <c:v>18</c:v>
            </c:pt>
          </c:strCache>
        </c:strRef>
      </c:tx>
      <c:layout>
        <c:manualLayout>
          <c:xMode val="edge"/>
          <c:yMode val="edge"/>
          <c:x val="0.40932889514267373"/>
          <c:y val="0.42495347222222224"/>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fi-FI"/>
        </a:p>
      </c:txPr>
    </c:title>
    <c:autoTitleDeleted val="0"/>
    <c:plotArea>
      <c:layout>
        <c:manualLayout>
          <c:layoutTarget val="inner"/>
          <c:xMode val="edge"/>
          <c:yMode val="edge"/>
          <c:x val="5.1423611111111114E-2"/>
          <c:y val="4.0890972222222224E-2"/>
          <c:w val="0.94501033628999298"/>
          <c:h val="0.96979218540657131"/>
        </c:manualLayout>
      </c:layout>
      <c:doughnutChart>
        <c:varyColors val="1"/>
        <c:ser>
          <c:idx val="0"/>
          <c:order val="0"/>
          <c:dPt>
            <c:idx val="0"/>
            <c:bubble3D val="0"/>
            <c:spPr>
              <a:solidFill>
                <a:srgbClr val="159637"/>
              </a:solidFill>
              <a:ln w="19050">
                <a:solidFill>
                  <a:schemeClr val="lt1"/>
                </a:solidFill>
              </a:ln>
              <a:effectLst/>
            </c:spPr>
            <c:extLst>
              <c:ext xmlns:c16="http://schemas.microsoft.com/office/drawing/2014/chart" uri="{C3380CC4-5D6E-409C-BE32-E72D297353CC}">
                <c16:uniqueId val="{00000001-2CC4-4F56-8FCF-5D7E7C4506AC}"/>
              </c:ext>
            </c:extLst>
          </c:dPt>
          <c:dPt>
            <c:idx val="1"/>
            <c:bubble3D val="0"/>
            <c:spPr>
              <a:solidFill>
                <a:srgbClr val="92D050"/>
              </a:solidFill>
              <a:ln w="19050">
                <a:solidFill>
                  <a:schemeClr val="lt1"/>
                </a:solidFill>
              </a:ln>
              <a:effectLst/>
            </c:spPr>
            <c:extLst>
              <c:ext xmlns:c16="http://schemas.microsoft.com/office/drawing/2014/chart" uri="{C3380CC4-5D6E-409C-BE32-E72D297353CC}">
                <c16:uniqueId val="{00000003-2CC4-4F56-8FCF-5D7E7C4506AC}"/>
              </c:ext>
            </c:extLst>
          </c:dPt>
          <c:dPt>
            <c:idx val="2"/>
            <c:bubble3D val="0"/>
            <c:spPr>
              <a:solidFill>
                <a:srgbClr val="FFC000"/>
              </a:solidFill>
              <a:ln w="19050">
                <a:solidFill>
                  <a:schemeClr val="lt1"/>
                </a:solidFill>
              </a:ln>
              <a:effectLst/>
            </c:spPr>
            <c:extLst>
              <c:ext xmlns:c16="http://schemas.microsoft.com/office/drawing/2014/chart" uri="{C3380CC4-5D6E-409C-BE32-E72D297353CC}">
                <c16:uniqueId val="{00000005-2CC4-4F56-8FCF-5D7E7C4506AC}"/>
              </c:ext>
            </c:extLst>
          </c:dPt>
          <c:dPt>
            <c:idx val="3"/>
            <c:bubble3D val="0"/>
            <c:spPr>
              <a:solidFill>
                <a:srgbClr val="FF0000"/>
              </a:solidFill>
              <a:ln w="19050">
                <a:solidFill>
                  <a:schemeClr val="lt1"/>
                </a:solidFill>
              </a:ln>
              <a:effectLst/>
            </c:spPr>
            <c:extLst>
              <c:ext xmlns:c16="http://schemas.microsoft.com/office/drawing/2014/chart" uri="{C3380CC4-5D6E-409C-BE32-E72D297353CC}">
                <c16:uniqueId val="{00000007-2CC4-4F56-8FCF-5D7E7C4506AC}"/>
              </c:ext>
            </c:extLst>
          </c:dPt>
          <c:dPt>
            <c:idx val="4"/>
            <c:bubble3D val="0"/>
            <c:spPr>
              <a:solidFill>
                <a:srgbClr val="FCEFE0"/>
              </a:solidFill>
              <a:ln w="19050">
                <a:solidFill>
                  <a:schemeClr val="lt1"/>
                </a:solidFill>
              </a:ln>
              <a:effectLst/>
            </c:spPr>
            <c:extLst>
              <c:ext xmlns:c16="http://schemas.microsoft.com/office/drawing/2014/chart" uri="{C3380CC4-5D6E-409C-BE32-E72D297353CC}">
                <c16:uniqueId val="{00000009-2CC4-4F56-8FCF-5D7E7C4506AC}"/>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fi-FI"/>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val>
            <c:numRef>
              <c:f>'R7'!$X$27:$X$31</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A-2CC4-4F56-8FCF-5D7E7C4506AC}"/>
            </c:ext>
          </c:extLst>
        </c:ser>
        <c:dLbls>
          <c:showLegendKey val="0"/>
          <c:showVal val="0"/>
          <c:showCatName val="0"/>
          <c:showSerName val="0"/>
          <c:showPercent val="0"/>
          <c:showBubbleSize val="0"/>
          <c:showLeaderLines val="1"/>
        </c:dLbls>
        <c:firstSliceAng val="0"/>
        <c:holeSize val="40"/>
      </c:doughnut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fi-FI"/>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'R7'!$X$32</c:f>
          <c:strCache>
            <c:ptCount val="1"/>
            <c:pt idx="0">
              <c:v>22</c:v>
            </c:pt>
          </c:strCache>
        </c:strRef>
      </c:tx>
      <c:layout>
        <c:manualLayout>
          <c:xMode val="edge"/>
          <c:yMode val="edge"/>
          <c:x val="0.3998409352772635"/>
          <c:y val="0.42495347222222224"/>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fi-FI"/>
        </a:p>
      </c:txPr>
    </c:title>
    <c:autoTitleDeleted val="0"/>
    <c:plotArea>
      <c:layout>
        <c:manualLayout>
          <c:layoutTarget val="inner"/>
          <c:xMode val="edge"/>
          <c:yMode val="edge"/>
          <c:x val="5.1423611111111114E-2"/>
          <c:y val="4.0890972222222224E-2"/>
          <c:w val="0.94501033628999298"/>
          <c:h val="0.96979218540657131"/>
        </c:manualLayout>
      </c:layout>
      <c:doughnutChart>
        <c:varyColors val="1"/>
        <c:ser>
          <c:idx val="0"/>
          <c:order val="0"/>
          <c:dPt>
            <c:idx val="0"/>
            <c:bubble3D val="0"/>
            <c:spPr>
              <a:solidFill>
                <a:srgbClr val="159637"/>
              </a:solidFill>
              <a:ln w="19050">
                <a:solidFill>
                  <a:schemeClr val="lt1"/>
                </a:solidFill>
              </a:ln>
              <a:effectLst/>
            </c:spPr>
            <c:extLst>
              <c:ext xmlns:c16="http://schemas.microsoft.com/office/drawing/2014/chart" uri="{C3380CC4-5D6E-409C-BE32-E72D297353CC}">
                <c16:uniqueId val="{00000001-DA6C-4C44-8033-F745317C8A50}"/>
              </c:ext>
            </c:extLst>
          </c:dPt>
          <c:dPt>
            <c:idx val="1"/>
            <c:bubble3D val="0"/>
            <c:spPr>
              <a:solidFill>
                <a:srgbClr val="92D050"/>
              </a:solidFill>
              <a:ln w="19050">
                <a:solidFill>
                  <a:schemeClr val="lt1"/>
                </a:solidFill>
              </a:ln>
              <a:effectLst/>
            </c:spPr>
            <c:extLst>
              <c:ext xmlns:c16="http://schemas.microsoft.com/office/drawing/2014/chart" uri="{C3380CC4-5D6E-409C-BE32-E72D297353CC}">
                <c16:uniqueId val="{00000003-DA6C-4C44-8033-F745317C8A50}"/>
              </c:ext>
            </c:extLst>
          </c:dPt>
          <c:dPt>
            <c:idx val="2"/>
            <c:bubble3D val="0"/>
            <c:spPr>
              <a:solidFill>
                <a:srgbClr val="FFC000"/>
              </a:solidFill>
              <a:ln w="19050">
                <a:solidFill>
                  <a:schemeClr val="lt1"/>
                </a:solidFill>
              </a:ln>
              <a:effectLst/>
            </c:spPr>
            <c:extLst>
              <c:ext xmlns:c16="http://schemas.microsoft.com/office/drawing/2014/chart" uri="{C3380CC4-5D6E-409C-BE32-E72D297353CC}">
                <c16:uniqueId val="{00000005-DA6C-4C44-8033-F745317C8A50}"/>
              </c:ext>
            </c:extLst>
          </c:dPt>
          <c:dPt>
            <c:idx val="3"/>
            <c:bubble3D val="0"/>
            <c:spPr>
              <a:solidFill>
                <a:srgbClr val="FF0000"/>
              </a:solidFill>
              <a:ln w="19050">
                <a:solidFill>
                  <a:schemeClr val="lt1"/>
                </a:solidFill>
              </a:ln>
              <a:effectLst/>
            </c:spPr>
            <c:extLst>
              <c:ext xmlns:c16="http://schemas.microsoft.com/office/drawing/2014/chart" uri="{C3380CC4-5D6E-409C-BE32-E72D297353CC}">
                <c16:uniqueId val="{00000007-DA6C-4C44-8033-F745317C8A50}"/>
              </c:ext>
            </c:extLst>
          </c:dPt>
          <c:dPt>
            <c:idx val="4"/>
            <c:bubble3D val="0"/>
            <c:spPr>
              <a:solidFill>
                <a:srgbClr val="FCEFE0"/>
              </a:solidFill>
              <a:ln w="19050">
                <a:solidFill>
                  <a:schemeClr val="lt1"/>
                </a:solidFill>
              </a:ln>
              <a:effectLst/>
            </c:spPr>
            <c:extLst>
              <c:ext xmlns:c16="http://schemas.microsoft.com/office/drawing/2014/chart" uri="{C3380CC4-5D6E-409C-BE32-E72D297353CC}">
                <c16:uniqueId val="{00000009-DA6C-4C44-8033-F745317C8A50}"/>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fi-FI"/>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val>
            <c:numRef>
              <c:f>'R7'!$X$33:$X$37</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A-DA6C-4C44-8033-F745317C8A50}"/>
            </c:ext>
          </c:extLst>
        </c:ser>
        <c:dLbls>
          <c:showLegendKey val="0"/>
          <c:showVal val="0"/>
          <c:showCatName val="0"/>
          <c:showSerName val="0"/>
          <c:showPercent val="0"/>
          <c:showBubbleSize val="0"/>
          <c:showLeaderLines val="1"/>
        </c:dLbls>
        <c:firstSliceAng val="0"/>
        <c:holeSize val="40"/>
      </c:doughnut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fi-FI"/>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'R7'!$Y$26</c:f>
          <c:strCache>
            <c:ptCount val="1"/>
            <c:pt idx="0">
              <c:v>9</c:v>
            </c:pt>
          </c:strCache>
        </c:strRef>
      </c:tx>
      <c:layout>
        <c:manualLayout>
          <c:xMode val="edge"/>
          <c:yMode val="edge"/>
          <c:x val="0.44613670187560417"/>
          <c:y val="0.42495347222222224"/>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fi-FI"/>
        </a:p>
      </c:txPr>
    </c:title>
    <c:autoTitleDeleted val="0"/>
    <c:plotArea>
      <c:layout>
        <c:manualLayout>
          <c:layoutTarget val="inner"/>
          <c:xMode val="edge"/>
          <c:yMode val="edge"/>
          <c:x val="5.1423611111111114E-2"/>
          <c:y val="4.0890972222222224E-2"/>
          <c:w val="0.94501033628999298"/>
          <c:h val="0.96979218540657131"/>
        </c:manualLayout>
      </c:layout>
      <c:doughnutChart>
        <c:varyColors val="1"/>
        <c:ser>
          <c:idx val="0"/>
          <c:order val="0"/>
          <c:dPt>
            <c:idx val="0"/>
            <c:bubble3D val="0"/>
            <c:spPr>
              <a:solidFill>
                <a:srgbClr val="159637"/>
              </a:solidFill>
              <a:ln w="19050">
                <a:solidFill>
                  <a:schemeClr val="lt1"/>
                </a:solidFill>
              </a:ln>
              <a:effectLst/>
            </c:spPr>
            <c:extLst>
              <c:ext xmlns:c16="http://schemas.microsoft.com/office/drawing/2014/chart" uri="{C3380CC4-5D6E-409C-BE32-E72D297353CC}">
                <c16:uniqueId val="{00000001-917E-46D4-AAD5-C6B907DEC80C}"/>
              </c:ext>
            </c:extLst>
          </c:dPt>
          <c:dPt>
            <c:idx val="1"/>
            <c:bubble3D val="0"/>
            <c:spPr>
              <a:solidFill>
                <a:srgbClr val="92D050"/>
              </a:solidFill>
              <a:ln w="19050">
                <a:solidFill>
                  <a:schemeClr val="lt1"/>
                </a:solidFill>
              </a:ln>
              <a:effectLst/>
            </c:spPr>
            <c:extLst>
              <c:ext xmlns:c16="http://schemas.microsoft.com/office/drawing/2014/chart" uri="{C3380CC4-5D6E-409C-BE32-E72D297353CC}">
                <c16:uniqueId val="{00000003-917E-46D4-AAD5-C6B907DEC80C}"/>
              </c:ext>
            </c:extLst>
          </c:dPt>
          <c:dPt>
            <c:idx val="2"/>
            <c:bubble3D val="0"/>
            <c:spPr>
              <a:solidFill>
                <a:srgbClr val="FFC000"/>
              </a:solidFill>
              <a:ln w="19050">
                <a:solidFill>
                  <a:schemeClr val="lt1"/>
                </a:solidFill>
              </a:ln>
              <a:effectLst/>
            </c:spPr>
            <c:extLst>
              <c:ext xmlns:c16="http://schemas.microsoft.com/office/drawing/2014/chart" uri="{C3380CC4-5D6E-409C-BE32-E72D297353CC}">
                <c16:uniqueId val="{00000005-917E-46D4-AAD5-C6B907DEC80C}"/>
              </c:ext>
            </c:extLst>
          </c:dPt>
          <c:dPt>
            <c:idx val="3"/>
            <c:bubble3D val="0"/>
            <c:spPr>
              <a:solidFill>
                <a:srgbClr val="FF0000"/>
              </a:solidFill>
              <a:ln w="19050">
                <a:solidFill>
                  <a:schemeClr val="lt1"/>
                </a:solidFill>
              </a:ln>
              <a:effectLst/>
            </c:spPr>
            <c:extLst>
              <c:ext xmlns:c16="http://schemas.microsoft.com/office/drawing/2014/chart" uri="{C3380CC4-5D6E-409C-BE32-E72D297353CC}">
                <c16:uniqueId val="{00000007-917E-46D4-AAD5-C6B907DEC80C}"/>
              </c:ext>
            </c:extLst>
          </c:dPt>
          <c:dPt>
            <c:idx val="4"/>
            <c:bubble3D val="0"/>
            <c:spPr>
              <a:solidFill>
                <a:srgbClr val="FCEFE0"/>
              </a:solidFill>
              <a:ln w="19050">
                <a:solidFill>
                  <a:schemeClr val="lt1"/>
                </a:solidFill>
              </a:ln>
              <a:effectLst/>
            </c:spPr>
            <c:extLst>
              <c:ext xmlns:c16="http://schemas.microsoft.com/office/drawing/2014/chart" uri="{C3380CC4-5D6E-409C-BE32-E72D297353CC}">
                <c16:uniqueId val="{00000009-917E-46D4-AAD5-C6B907DEC80C}"/>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fi-FI"/>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val>
            <c:numRef>
              <c:f>'R7'!$Y$27:$Y$31</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A-917E-46D4-AAD5-C6B907DEC80C}"/>
            </c:ext>
          </c:extLst>
        </c:ser>
        <c:dLbls>
          <c:showLegendKey val="0"/>
          <c:showVal val="0"/>
          <c:showCatName val="0"/>
          <c:showSerName val="0"/>
          <c:showPercent val="0"/>
          <c:showBubbleSize val="0"/>
          <c:showLeaderLines val="1"/>
        </c:dLbls>
        <c:firstSliceAng val="0"/>
        <c:holeSize val="40"/>
      </c:doughnut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fi-FI"/>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'R7'!$Y$32</c:f>
          <c:strCache>
            <c:ptCount val="1"/>
            <c:pt idx="0">
              <c:v>9</c:v>
            </c:pt>
          </c:strCache>
        </c:strRef>
      </c:tx>
      <c:layout>
        <c:manualLayout>
          <c:xMode val="edge"/>
          <c:yMode val="edge"/>
          <c:x val="0.4553388888888889"/>
          <c:y val="0.42495347222222224"/>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fi-FI"/>
        </a:p>
      </c:txPr>
    </c:title>
    <c:autoTitleDeleted val="0"/>
    <c:plotArea>
      <c:layout>
        <c:manualLayout>
          <c:layoutTarget val="inner"/>
          <c:xMode val="edge"/>
          <c:yMode val="edge"/>
          <c:x val="5.1423611111111114E-2"/>
          <c:y val="4.0890972222222224E-2"/>
          <c:w val="0.94501033628999298"/>
          <c:h val="0.96979218540657131"/>
        </c:manualLayout>
      </c:layout>
      <c:doughnutChart>
        <c:varyColors val="1"/>
        <c:ser>
          <c:idx val="0"/>
          <c:order val="0"/>
          <c:dPt>
            <c:idx val="0"/>
            <c:bubble3D val="0"/>
            <c:spPr>
              <a:solidFill>
                <a:srgbClr val="159637"/>
              </a:solidFill>
              <a:ln w="19050">
                <a:solidFill>
                  <a:schemeClr val="lt1"/>
                </a:solidFill>
              </a:ln>
              <a:effectLst/>
            </c:spPr>
            <c:extLst>
              <c:ext xmlns:c16="http://schemas.microsoft.com/office/drawing/2014/chart" uri="{C3380CC4-5D6E-409C-BE32-E72D297353CC}">
                <c16:uniqueId val="{00000001-9F5A-428D-B3D8-6508DC843525}"/>
              </c:ext>
            </c:extLst>
          </c:dPt>
          <c:dPt>
            <c:idx val="1"/>
            <c:bubble3D val="0"/>
            <c:spPr>
              <a:solidFill>
                <a:srgbClr val="92D050"/>
              </a:solidFill>
              <a:ln w="19050">
                <a:solidFill>
                  <a:schemeClr val="lt1"/>
                </a:solidFill>
              </a:ln>
              <a:effectLst/>
            </c:spPr>
            <c:extLst>
              <c:ext xmlns:c16="http://schemas.microsoft.com/office/drawing/2014/chart" uri="{C3380CC4-5D6E-409C-BE32-E72D297353CC}">
                <c16:uniqueId val="{00000003-9F5A-428D-B3D8-6508DC843525}"/>
              </c:ext>
            </c:extLst>
          </c:dPt>
          <c:dPt>
            <c:idx val="2"/>
            <c:bubble3D val="0"/>
            <c:spPr>
              <a:solidFill>
                <a:srgbClr val="FFC000"/>
              </a:solidFill>
              <a:ln w="19050">
                <a:solidFill>
                  <a:schemeClr val="lt1"/>
                </a:solidFill>
              </a:ln>
              <a:effectLst/>
            </c:spPr>
            <c:extLst>
              <c:ext xmlns:c16="http://schemas.microsoft.com/office/drawing/2014/chart" uri="{C3380CC4-5D6E-409C-BE32-E72D297353CC}">
                <c16:uniqueId val="{00000005-9F5A-428D-B3D8-6508DC843525}"/>
              </c:ext>
            </c:extLst>
          </c:dPt>
          <c:dPt>
            <c:idx val="3"/>
            <c:bubble3D val="0"/>
            <c:spPr>
              <a:solidFill>
                <a:srgbClr val="FF0000"/>
              </a:solidFill>
              <a:ln w="19050">
                <a:solidFill>
                  <a:schemeClr val="lt1"/>
                </a:solidFill>
              </a:ln>
              <a:effectLst/>
            </c:spPr>
            <c:extLst>
              <c:ext xmlns:c16="http://schemas.microsoft.com/office/drawing/2014/chart" uri="{C3380CC4-5D6E-409C-BE32-E72D297353CC}">
                <c16:uniqueId val="{00000007-9F5A-428D-B3D8-6508DC843525}"/>
              </c:ext>
            </c:extLst>
          </c:dPt>
          <c:dPt>
            <c:idx val="4"/>
            <c:bubble3D val="0"/>
            <c:spPr>
              <a:solidFill>
                <a:srgbClr val="FCEFE0"/>
              </a:solidFill>
              <a:ln w="19050">
                <a:solidFill>
                  <a:schemeClr val="lt1"/>
                </a:solidFill>
              </a:ln>
              <a:effectLst/>
            </c:spPr>
            <c:extLst>
              <c:ext xmlns:c16="http://schemas.microsoft.com/office/drawing/2014/chart" uri="{C3380CC4-5D6E-409C-BE32-E72D297353CC}">
                <c16:uniqueId val="{00000009-9F5A-428D-B3D8-6508DC84352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fi-FI"/>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val>
            <c:numRef>
              <c:f>'R7'!$Y$33:$Y$37</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A-9F5A-428D-B3D8-6508DC843525}"/>
            </c:ext>
          </c:extLst>
        </c:ser>
        <c:dLbls>
          <c:showLegendKey val="0"/>
          <c:showVal val="0"/>
          <c:showCatName val="0"/>
          <c:showSerName val="0"/>
          <c:showPercent val="0"/>
          <c:showBubbleSize val="0"/>
          <c:showLeaderLines val="1"/>
        </c:dLbls>
        <c:firstSliceAng val="0"/>
        <c:holeSize val="40"/>
      </c:doughnut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fi-FI"/>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'R7'!$Z$26</c:f>
          <c:strCache>
            <c:ptCount val="1"/>
            <c:pt idx="0">
              <c:v>12</c:v>
            </c:pt>
          </c:strCache>
        </c:strRef>
      </c:tx>
      <c:layout>
        <c:manualLayout>
          <c:xMode val="edge"/>
          <c:yMode val="edge"/>
          <c:x val="0.40932889514267373"/>
          <c:y val="0.42495347222222224"/>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fi-FI"/>
        </a:p>
      </c:txPr>
    </c:title>
    <c:autoTitleDeleted val="0"/>
    <c:plotArea>
      <c:layout>
        <c:manualLayout>
          <c:layoutTarget val="inner"/>
          <c:xMode val="edge"/>
          <c:yMode val="edge"/>
          <c:x val="5.1423611111111114E-2"/>
          <c:y val="4.0890972222222224E-2"/>
          <c:w val="0.94501033628999298"/>
          <c:h val="0.96979218540657131"/>
        </c:manualLayout>
      </c:layout>
      <c:doughnutChart>
        <c:varyColors val="1"/>
        <c:ser>
          <c:idx val="0"/>
          <c:order val="0"/>
          <c:dPt>
            <c:idx val="0"/>
            <c:bubble3D val="0"/>
            <c:spPr>
              <a:solidFill>
                <a:srgbClr val="159637"/>
              </a:solidFill>
              <a:ln w="19050">
                <a:solidFill>
                  <a:schemeClr val="lt1"/>
                </a:solidFill>
              </a:ln>
              <a:effectLst/>
            </c:spPr>
            <c:extLst>
              <c:ext xmlns:c16="http://schemas.microsoft.com/office/drawing/2014/chart" uri="{C3380CC4-5D6E-409C-BE32-E72D297353CC}">
                <c16:uniqueId val="{00000001-848F-40FB-87A7-C179899E869A}"/>
              </c:ext>
            </c:extLst>
          </c:dPt>
          <c:dPt>
            <c:idx val="1"/>
            <c:bubble3D val="0"/>
            <c:spPr>
              <a:solidFill>
                <a:srgbClr val="92D050"/>
              </a:solidFill>
              <a:ln w="19050">
                <a:solidFill>
                  <a:schemeClr val="lt1"/>
                </a:solidFill>
              </a:ln>
              <a:effectLst/>
            </c:spPr>
            <c:extLst>
              <c:ext xmlns:c16="http://schemas.microsoft.com/office/drawing/2014/chart" uri="{C3380CC4-5D6E-409C-BE32-E72D297353CC}">
                <c16:uniqueId val="{00000003-848F-40FB-87A7-C179899E869A}"/>
              </c:ext>
            </c:extLst>
          </c:dPt>
          <c:dPt>
            <c:idx val="2"/>
            <c:bubble3D val="0"/>
            <c:spPr>
              <a:solidFill>
                <a:srgbClr val="FFC000"/>
              </a:solidFill>
              <a:ln w="19050">
                <a:solidFill>
                  <a:schemeClr val="lt1"/>
                </a:solidFill>
              </a:ln>
              <a:effectLst/>
            </c:spPr>
            <c:extLst>
              <c:ext xmlns:c16="http://schemas.microsoft.com/office/drawing/2014/chart" uri="{C3380CC4-5D6E-409C-BE32-E72D297353CC}">
                <c16:uniqueId val="{00000005-848F-40FB-87A7-C179899E869A}"/>
              </c:ext>
            </c:extLst>
          </c:dPt>
          <c:dPt>
            <c:idx val="3"/>
            <c:bubble3D val="0"/>
            <c:spPr>
              <a:solidFill>
                <a:srgbClr val="FF0000"/>
              </a:solidFill>
              <a:ln w="19050">
                <a:solidFill>
                  <a:schemeClr val="lt1"/>
                </a:solidFill>
              </a:ln>
              <a:effectLst/>
            </c:spPr>
            <c:extLst>
              <c:ext xmlns:c16="http://schemas.microsoft.com/office/drawing/2014/chart" uri="{C3380CC4-5D6E-409C-BE32-E72D297353CC}">
                <c16:uniqueId val="{00000007-848F-40FB-87A7-C179899E869A}"/>
              </c:ext>
            </c:extLst>
          </c:dPt>
          <c:dPt>
            <c:idx val="4"/>
            <c:bubble3D val="0"/>
            <c:spPr>
              <a:solidFill>
                <a:srgbClr val="FCEFE0"/>
              </a:solidFill>
              <a:ln w="19050">
                <a:solidFill>
                  <a:schemeClr val="lt1"/>
                </a:solidFill>
              </a:ln>
              <a:effectLst/>
            </c:spPr>
            <c:extLst>
              <c:ext xmlns:c16="http://schemas.microsoft.com/office/drawing/2014/chart" uri="{C3380CC4-5D6E-409C-BE32-E72D297353CC}">
                <c16:uniqueId val="{00000009-848F-40FB-87A7-C179899E869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fi-FI"/>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val>
            <c:numRef>
              <c:f>'R7'!$Z$27:$Z$31</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A-848F-40FB-87A7-C179899E869A}"/>
            </c:ext>
          </c:extLst>
        </c:ser>
        <c:dLbls>
          <c:showLegendKey val="0"/>
          <c:showVal val="0"/>
          <c:showCatName val="0"/>
          <c:showSerName val="0"/>
          <c:showPercent val="0"/>
          <c:showBubbleSize val="0"/>
          <c:showLeaderLines val="1"/>
        </c:dLbls>
        <c:firstSliceAng val="0"/>
        <c:holeSize val="40"/>
      </c:doughnut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fi-FI"/>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'R7'!$Z$32</c:f>
          <c:strCache>
            <c:ptCount val="1"/>
            <c:pt idx="0">
              <c:v>11</c:v>
            </c:pt>
          </c:strCache>
        </c:strRef>
      </c:tx>
      <c:layout>
        <c:manualLayout>
          <c:xMode val="edge"/>
          <c:yMode val="edge"/>
          <c:x val="0.41834022079698419"/>
          <c:y val="0.42495347222222224"/>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fi-FI"/>
        </a:p>
      </c:txPr>
    </c:title>
    <c:autoTitleDeleted val="0"/>
    <c:plotArea>
      <c:layout>
        <c:manualLayout>
          <c:layoutTarget val="inner"/>
          <c:xMode val="edge"/>
          <c:yMode val="edge"/>
          <c:x val="5.1423611111111114E-2"/>
          <c:y val="4.0890972222222224E-2"/>
          <c:w val="0.94501033628999298"/>
          <c:h val="0.96979218540657131"/>
        </c:manualLayout>
      </c:layout>
      <c:doughnutChart>
        <c:varyColors val="1"/>
        <c:ser>
          <c:idx val="0"/>
          <c:order val="0"/>
          <c:dPt>
            <c:idx val="0"/>
            <c:bubble3D val="0"/>
            <c:spPr>
              <a:solidFill>
                <a:srgbClr val="159637"/>
              </a:solidFill>
              <a:ln w="19050">
                <a:solidFill>
                  <a:schemeClr val="lt1"/>
                </a:solidFill>
              </a:ln>
              <a:effectLst/>
            </c:spPr>
            <c:extLst>
              <c:ext xmlns:c16="http://schemas.microsoft.com/office/drawing/2014/chart" uri="{C3380CC4-5D6E-409C-BE32-E72D297353CC}">
                <c16:uniqueId val="{00000001-F172-4272-9EC1-77C0DE934EB5}"/>
              </c:ext>
            </c:extLst>
          </c:dPt>
          <c:dPt>
            <c:idx val="1"/>
            <c:bubble3D val="0"/>
            <c:spPr>
              <a:solidFill>
                <a:srgbClr val="92D050"/>
              </a:solidFill>
              <a:ln w="19050">
                <a:solidFill>
                  <a:schemeClr val="lt1"/>
                </a:solidFill>
              </a:ln>
              <a:effectLst/>
            </c:spPr>
            <c:extLst>
              <c:ext xmlns:c16="http://schemas.microsoft.com/office/drawing/2014/chart" uri="{C3380CC4-5D6E-409C-BE32-E72D297353CC}">
                <c16:uniqueId val="{00000003-F172-4272-9EC1-77C0DE934EB5}"/>
              </c:ext>
            </c:extLst>
          </c:dPt>
          <c:dPt>
            <c:idx val="2"/>
            <c:bubble3D val="0"/>
            <c:spPr>
              <a:solidFill>
                <a:srgbClr val="FFC000"/>
              </a:solidFill>
              <a:ln w="19050">
                <a:solidFill>
                  <a:schemeClr val="lt1"/>
                </a:solidFill>
              </a:ln>
              <a:effectLst/>
            </c:spPr>
            <c:extLst>
              <c:ext xmlns:c16="http://schemas.microsoft.com/office/drawing/2014/chart" uri="{C3380CC4-5D6E-409C-BE32-E72D297353CC}">
                <c16:uniqueId val="{00000005-F172-4272-9EC1-77C0DE934EB5}"/>
              </c:ext>
            </c:extLst>
          </c:dPt>
          <c:dPt>
            <c:idx val="3"/>
            <c:bubble3D val="0"/>
            <c:spPr>
              <a:solidFill>
                <a:srgbClr val="FF0000"/>
              </a:solidFill>
              <a:ln w="19050">
                <a:solidFill>
                  <a:schemeClr val="lt1"/>
                </a:solidFill>
              </a:ln>
              <a:effectLst/>
            </c:spPr>
            <c:extLst>
              <c:ext xmlns:c16="http://schemas.microsoft.com/office/drawing/2014/chart" uri="{C3380CC4-5D6E-409C-BE32-E72D297353CC}">
                <c16:uniqueId val="{00000007-F172-4272-9EC1-77C0DE934EB5}"/>
              </c:ext>
            </c:extLst>
          </c:dPt>
          <c:dPt>
            <c:idx val="4"/>
            <c:bubble3D val="0"/>
            <c:spPr>
              <a:solidFill>
                <a:srgbClr val="FCEFE0"/>
              </a:solidFill>
              <a:ln w="19050">
                <a:solidFill>
                  <a:schemeClr val="lt1"/>
                </a:solidFill>
              </a:ln>
              <a:effectLst/>
            </c:spPr>
            <c:extLst>
              <c:ext xmlns:c16="http://schemas.microsoft.com/office/drawing/2014/chart" uri="{C3380CC4-5D6E-409C-BE32-E72D297353CC}">
                <c16:uniqueId val="{00000009-F172-4272-9EC1-77C0DE934EB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fi-FI"/>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val>
            <c:numRef>
              <c:f>'R7'!$Z$33:$Z$37</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A-F172-4272-9EC1-77C0DE934EB5}"/>
            </c:ext>
          </c:extLst>
        </c:ser>
        <c:dLbls>
          <c:showLegendKey val="0"/>
          <c:showVal val="0"/>
          <c:showCatName val="0"/>
          <c:showSerName val="0"/>
          <c:showPercent val="0"/>
          <c:showBubbleSize val="0"/>
          <c:showLeaderLines val="1"/>
        </c:dLbls>
        <c:firstSliceAng val="0"/>
        <c:holeSize val="40"/>
      </c:doughnut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fi-F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i-FI" b="1">
                <a:solidFill>
                  <a:schemeClr val="bg2"/>
                </a:solidFill>
              </a:rPr>
              <a:t>Osion</a:t>
            </a:r>
            <a:r>
              <a:rPr lang="fi-FI" b="1" baseline="0">
                <a:solidFill>
                  <a:schemeClr val="bg2"/>
                </a:solidFill>
              </a:rPr>
              <a:t> käytäntöjen toteutuminen kypsyystasoittain (%)</a:t>
            </a:r>
            <a:endParaRPr lang="fi-FI" b="1">
              <a:solidFill>
                <a:schemeClr val="bg2"/>
              </a:solidFill>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i-FI"/>
        </a:p>
      </c:txPr>
    </c:title>
    <c:autoTitleDeleted val="0"/>
    <c:plotArea>
      <c:layout/>
      <c:barChart>
        <c:barDir val="col"/>
        <c:grouping val="clustered"/>
        <c:varyColors val="0"/>
        <c:ser>
          <c:idx val="0"/>
          <c:order val="0"/>
          <c:tx>
            <c:strRef>
              <c:f>Data!$S$32</c:f>
              <c:strCache>
                <c:ptCount val="1"/>
                <c:pt idx="0">
                  <c:v>1</c:v>
                </c:pt>
              </c:strCache>
            </c:strRef>
          </c:tx>
          <c:spPr>
            <a:solidFill>
              <a:schemeClr val="accent1"/>
            </a:solidFill>
            <a:ln>
              <a:noFill/>
            </a:ln>
            <a:effectLst/>
          </c:spPr>
          <c:invertIfNegative val="0"/>
          <c:cat>
            <c:multiLvlStrRef>
              <c:f>Data!$Q$33:$R$43</c:f>
              <c:multiLvlStrCache>
                <c:ptCount val="11"/>
                <c:lvl>
                  <c:pt idx="0">
                    <c:v>Kriittiset
palvelut</c:v>
                  </c:pt>
                  <c:pt idx="1">
                    <c:v>Omaisuuden
hallinta</c:v>
                  </c:pt>
                  <c:pt idx="2">
                    <c:v>Uhkat ja
haavoittuvuudet</c:v>
                  </c:pt>
                  <c:pt idx="3">
                    <c:v>Riskien
hallinta</c:v>
                  </c:pt>
                  <c:pt idx="4">
                    <c:v>Pääsyn
hallinta</c:v>
                  </c:pt>
                  <c:pt idx="5">
                    <c:v>Tilanne
kuva</c:v>
                  </c:pt>
                  <c:pt idx="6">
                    <c:v>Tapahtumat
ja häiriöt</c:v>
                  </c:pt>
                  <c:pt idx="7">
                    <c:v>Kolmannet
osapuolet</c:v>
                  </c:pt>
                  <c:pt idx="8">
                    <c:v>Henkilöstön
hallinta</c:v>
                  </c:pt>
                  <c:pt idx="9">
                    <c:v>Kyber
arkkitehtuuri</c:v>
                  </c:pt>
                  <c:pt idx="10">
                    <c:v>Kyberturv.
hallinta</c:v>
                  </c:pt>
                </c:lvl>
                <c:lvl>
                  <c:pt idx="0">
                    <c:v>CRITICAL</c:v>
                  </c:pt>
                  <c:pt idx="1">
                    <c:v>ASSET</c:v>
                  </c:pt>
                  <c:pt idx="2">
                    <c:v>THREAT</c:v>
                  </c:pt>
                  <c:pt idx="3">
                    <c:v>RISK</c:v>
                  </c:pt>
                  <c:pt idx="4">
                    <c:v>ACCESS</c:v>
                  </c:pt>
                  <c:pt idx="5">
                    <c:v>SITUATION</c:v>
                  </c:pt>
                  <c:pt idx="6">
                    <c:v>RESPONSE</c:v>
                  </c:pt>
                  <c:pt idx="7">
                    <c:v>THIRDPARTY</c:v>
                  </c:pt>
                  <c:pt idx="8">
                    <c:v>WORKFORCE</c:v>
                  </c:pt>
                  <c:pt idx="9">
                    <c:v>ARCHITECTURE</c:v>
                  </c:pt>
                  <c:pt idx="10">
                    <c:v>PROGRAM</c:v>
                  </c:pt>
                </c:lvl>
              </c:multiLvlStrCache>
            </c:multiLvlStrRef>
          </c:cat>
          <c:val>
            <c:numRef>
              <c:f>Data!$S$33:$S$43</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0-F717-4BED-B6D3-CB382630B127}"/>
            </c:ext>
          </c:extLst>
        </c:ser>
        <c:ser>
          <c:idx val="1"/>
          <c:order val="1"/>
          <c:tx>
            <c:strRef>
              <c:f>Data!$T$32</c:f>
              <c:strCache>
                <c:ptCount val="1"/>
                <c:pt idx="0">
                  <c:v>2</c:v>
                </c:pt>
              </c:strCache>
            </c:strRef>
          </c:tx>
          <c:spPr>
            <a:solidFill>
              <a:schemeClr val="accent2"/>
            </a:solidFill>
            <a:ln>
              <a:noFill/>
            </a:ln>
            <a:effectLst/>
          </c:spPr>
          <c:invertIfNegative val="0"/>
          <c:cat>
            <c:multiLvlStrRef>
              <c:f>Data!$Q$33:$R$43</c:f>
              <c:multiLvlStrCache>
                <c:ptCount val="11"/>
                <c:lvl>
                  <c:pt idx="0">
                    <c:v>Kriittiset
palvelut</c:v>
                  </c:pt>
                  <c:pt idx="1">
                    <c:v>Omaisuuden
hallinta</c:v>
                  </c:pt>
                  <c:pt idx="2">
                    <c:v>Uhkat ja
haavoittuvuudet</c:v>
                  </c:pt>
                  <c:pt idx="3">
                    <c:v>Riskien
hallinta</c:v>
                  </c:pt>
                  <c:pt idx="4">
                    <c:v>Pääsyn
hallinta</c:v>
                  </c:pt>
                  <c:pt idx="5">
                    <c:v>Tilanne
kuva</c:v>
                  </c:pt>
                  <c:pt idx="6">
                    <c:v>Tapahtumat
ja häiriöt</c:v>
                  </c:pt>
                  <c:pt idx="7">
                    <c:v>Kolmannet
osapuolet</c:v>
                  </c:pt>
                  <c:pt idx="8">
                    <c:v>Henkilöstön
hallinta</c:v>
                  </c:pt>
                  <c:pt idx="9">
                    <c:v>Kyber
arkkitehtuuri</c:v>
                  </c:pt>
                  <c:pt idx="10">
                    <c:v>Kyberturv.
hallinta</c:v>
                  </c:pt>
                </c:lvl>
                <c:lvl>
                  <c:pt idx="0">
                    <c:v>CRITICAL</c:v>
                  </c:pt>
                  <c:pt idx="1">
                    <c:v>ASSET</c:v>
                  </c:pt>
                  <c:pt idx="2">
                    <c:v>THREAT</c:v>
                  </c:pt>
                  <c:pt idx="3">
                    <c:v>RISK</c:v>
                  </c:pt>
                  <c:pt idx="4">
                    <c:v>ACCESS</c:v>
                  </c:pt>
                  <c:pt idx="5">
                    <c:v>SITUATION</c:v>
                  </c:pt>
                  <c:pt idx="6">
                    <c:v>RESPONSE</c:v>
                  </c:pt>
                  <c:pt idx="7">
                    <c:v>THIRDPARTY</c:v>
                  </c:pt>
                  <c:pt idx="8">
                    <c:v>WORKFORCE</c:v>
                  </c:pt>
                  <c:pt idx="9">
                    <c:v>ARCHITECTURE</c:v>
                  </c:pt>
                  <c:pt idx="10">
                    <c:v>PROGRAM</c:v>
                  </c:pt>
                </c:lvl>
              </c:multiLvlStrCache>
            </c:multiLvlStrRef>
          </c:cat>
          <c:val>
            <c:numRef>
              <c:f>Data!$T$33:$T$43</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1-F717-4BED-B6D3-CB382630B127}"/>
            </c:ext>
          </c:extLst>
        </c:ser>
        <c:ser>
          <c:idx val="2"/>
          <c:order val="2"/>
          <c:tx>
            <c:strRef>
              <c:f>Data!$U$32</c:f>
              <c:strCache>
                <c:ptCount val="1"/>
                <c:pt idx="0">
                  <c:v>3</c:v>
                </c:pt>
              </c:strCache>
            </c:strRef>
          </c:tx>
          <c:spPr>
            <a:solidFill>
              <a:schemeClr val="accent3"/>
            </a:solidFill>
            <a:ln>
              <a:noFill/>
            </a:ln>
            <a:effectLst/>
          </c:spPr>
          <c:invertIfNegative val="0"/>
          <c:cat>
            <c:multiLvlStrRef>
              <c:f>Data!$Q$33:$R$43</c:f>
              <c:multiLvlStrCache>
                <c:ptCount val="11"/>
                <c:lvl>
                  <c:pt idx="0">
                    <c:v>Kriittiset
palvelut</c:v>
                  </c:pt>
                  <c:pt idx="1">
                    <c:v>Omaisuuden
hallinta</c:v>
                  </c:pt>
                  <c:pt idx="2">
                    <c:v>Uhkat ja
haavoittuvuudet</c:v>
                  </c:pt>
                  <c:pt idx="3">
                    <c:v>Riskien
hallinta</c:v>
                  </c:pt>
                  <c:pt idx="4">
                    <c:v>Pääsyn
hallinta</c:v>
                  </c:pt>
                  <c:pt idx="5">
                    <c:v>Tilanne
kuva</c:v>
                  </c:pt>
                  <c:pt idx="6">
                    <c:v>Tapahtumat
ja häiriöt</c:v>
                  </c:pt>
                  <c:pt idx="7">
                    <c:v>Kolmannet
osapuolet</c:v>
                  </c:pt>
                  <c:pt idx="8">
                    <c:v>Henkilöstön
hallinta</c:v>
                  </c:pt>
                  <c:pt idx="9">
                    <c:v>Kyber
arkkitehtuuri</c:v>
                  </c:pt>
                  <c:pt idx="10">
                    <c:v>Kyberturv.
hallinta</c:v>
                  </c:pt>
                </c:lvl>
                <c:lvl>
                  <c:pt idx="0">
                    <c:v>CRITICAL</c:v>
                  </c:pt>
                  <c:pt idx="1">
                    <c:v>ASSET</c:v>
                  </c:pt>
                  <c:pt idx="2">
                    <c:v>THREAT</c:v>
                  </c:pt>
                  <c:pt idx="3">
                    <c:v>RISK</c:v>
                  </c:pt>
                  <c:pt idx="4">
                    <c:v>ACCESS</c:v>
                  </c:pt>
                  <c:pt idx="5">
                    <c:v>SITUATION</c:v>
                  </c:pt>
                  <c:pt idx="6">
                    <c:v>RESPONSE</c:v>
                  </c:pt>
                  <c:pt idx="7">
                    <c:v>THIRDPARTY</c:v>
                  </c:pt>
                  <c:pt idx="8">
                    <c:v>WORKFORCE</c:v>
                  </c:pt>
                  <c:pt idx="9">
                    <c:v>ARCHITECTURE</c:v>
                  </c:pt>
                  <c:pt idx="10">
                    <c:v>PROGRAM</c:v>
                  </c:pt>
                </c:lvl>
              </c:multiLvlStrCache>
            </c:multiLvlStrRef>
          </c:cat>
          <c:val>
            <c:numRef>
              <c:f>Data!$U$33:$U$43</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2-F717-4BED-B6D3-CB382630B127}"/>
            </c:ext>
          </c:extLst>
        </c:ser>
        <c:dLbls>
          <c:showLegendKey val="0"/>
          <c:showVal val="0"/>
          <c:showCatName val="0"/>
          <c:showSerName val="0"/>
          <c:showPercent val="0"/>
          <c:showBubbleSize val="0"/>
        </c:dLbls>
        <c:gapWidth val="219"/>
        <c:overlap val="-27"/>
        <c:axId val="949963520"/>
        <c:axId val="949963848"/>
      </c:barChart>
      <c:catAx>
        <c:axId val="949963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bg2"/>
                </a:solidFill>
                <a:latin typeface="+mn-lt"/>
                <a:ea typeface="+mn-ea"/>
                <a:cs typeface="+mn-cs"/>
              </a:defRPr>
            </a:pPr>
            <a:endParaRPr lang="fi-FI"/>
          </a:p>
        </c:txPr>
        <c:crossAx val="949963848"/>
        <c:crosses val="autoZero"/>
        <c:auto val="1"/>
        <c:lblAlgn val="ctr"/>
        <c:lblOffset val="100"/>
        <c:noMultiLvlLbl val="0"/>
      </c:catAx>
      <c:valAx>
        <c:axId val="949963848"/>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crossAx val="94996352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i-FI"/>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'R7'!$AA$26</c:f>
          <c:strCache>
            <c:ptCount val="1"/>
            <c:pt idx="0">
              <c:v>23</c:v>
            </c:pt>
          </c:strCache>
        </c:strRef>
      </c:tx>
      <c:layout>
        <c:manualLayout>
          <c:xMode val="edge"/>
          <c:yMode val="edge"/>
          <c:x val="0.40932889514267373"/>
          <c:y val="0.42495347222222224"/>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fi-FI"/>
        </a:p>
      </c:txPr>
    </c:title>
    <c:autoTitleDeleted val="0"/>
    <c:plotArea>
      <c:layout>
        <c:manualLayout>
          <c:layoutTarget val="inner"/>
          <c:xMode val="edge"/>
          <c:yMode val="edge"/>
          <c:x val="5.1423611111111114E-2"/>
          <c:y val="4.0890972222222224E-2"/>
          <c:w val="0.94501033628999298"/>
          <c:h val="0.96979218540657131"/>
        </c:manualLayout>
      </c:layout>
      <c:doughnutChart>
        <c:varyColors val="1"/>
        <c:ser>
          <c:idx val="0"/>
          <c:order val="0"/>
          <c:dPt>
            <c:idx val="0"/>
            <c:bubble3D val="0"/>
            <c:spPr>
              <a:solidFill>
                <a:srgbClr val="159637"/>
              </a:solidFill>
              <a:ln w="19050">
                <a:solidFill>
                  <a:schemeClr val="lt1"/>
                </a:solidFill>
              </a:ln>
              <a:effectLst/>
            </c:spPr>
            <c:extLst>
              <c:ext xmlns:c16="http://schemas.microsoft.com/office/drawing/2014/chart" uri="{C3380CC4-5D6E-409C-BE32-E72D297353CC}">
                <c16:uniqueId val="{00000001-605B-4A50-BA45-BFE874804E74}"/>
              </c:ext>
            </c:extLst>
          </c:dPt>
          <c:dPt>
            <c:idx val="1"/>
            <c:bubble3D val="0"/>
            <c:spPr>
              <a:solidFill>
                <a:srgbClr val="92D050"/>
              </a:solidFill>
              <a:ln w="19050">
                <a:solidFill>
                  <a:schemeClr val="lt1"/>
                </a:solidFill>
              </a:ln>
              <a:effectLst/>
            </c:spPr>
            <c:extLst>
              <c:ext xmlns:c16="http://schemas.microsoft.com/office/drawing/2014/chart" uri="{C3380CC4-5D6E-409C-BE32-E72D297353CC}">
                <c16:uniqueId val="{00000003-605B-4A50-BA45-BFE874804E74}"/>
              </c:ext>
            </c:extLst>
          </c:dPt>
          <c:dPt>
            <c:idx val="2"/>
            <c:bubble3D val="0"/>
            <c:spPr>
              <a:solidFill>
                <a:srgbClr val="FFC000"/>
              </a:solidFill>
              <a:ln w="19050">
                <a:solidFill>
                  <a:schemeClr val="lt1"/>
                </a:solidFill>
              </a:ln>
              <a:effectLst/>
            </c:spPr>
            <c:extLst>
              <c:ext xmlns:c16="http://schemas.microsoft.com/office/drawing/2014/chart" uri="{C3380CC4-5D6E-409C-BE32-E72D297353CC}">
                <c16:uniqueId val="{00000005-605B-4A50-BA45-BFE874804E74}"/>
              </c:ext>
            </c:extLst>
          </c:dPt>
          <c:dPt>
            <c:idx val="3"/>
            <c:bubble3D val="0"/>
            <c:spPr>
              <a:solidFill>
                <a:srgbClr val="FF0000"/>
              </a:solidFill>
              <a:ln w="19050">
                <a:solidFill>
                  <a:schemeClr val="lt1"/>
                </a:solidFill>
              </a:ln>
              <a:effectLst/>
            </c:spPr>
            <c:extLst>
              <c:ext xmlns:c16="http://schemas.microsoft.com/office/drawing/2014/chart" uri="{C3380CC4-5D6E-409C-BE32-E72D297353CC}">
                <c16:uniqueId val="{00000007-605B-4A50-BA45-BFE874804E74}"/>
              </c:ext>
            </c:extLst>
          </c:dPt>
          <c:dPt>
            <c:idx val="4"/>
            <c:bubble3D val="0"/>
            <c:spPr>
              <a:solidFill>
                <a:srgbClr val="FCEFE0"/>
              </a:solidFill>
              <a:ln w="19050">
                <a:solidFill>
                  <a:schemeClr val="lt1"/>
                </a:solidFill>
              </a:ln>
              <a:effectLst/>
            </c:spPr>
            <c:extLst>
              <c:ext xmlns:c16="http://schemas.microsoft.com/office/drawing/2014/chart" uri="{C3380CC4-5D6E-409C-BE32-E72D297353CC}">
                <c16:uniqueId val="{00000009-605B-4A50-BA45-BFE874804E74}"/>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fi-FI"/>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val>
            <c:numRef>
              <c:f>'R7'!$AA$27:$AA$31</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A-605B-4A50-BA45-BFE874804E74}"/>
            </c:ext>
          </c:extLst>
        </c:ser>
        <c:dLbls>
          <c:showLegendKey val="0"/>
          <c:showVal val="0"/>
          <c:showCatName val="0"/>
          <c:showSerName val="0"/>
          <c:showPercent val="0"/>
          <c:showBubbleSize val="0"/>
          <c:showLeaderLines val="1"/>
        </c:dLbls>
        <c:firstSliceAng val="0"/>
        <c:holeSize val="40"/>
      </c:doughnut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fi-FI"/>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'R7'!$AA$32</c:f>
          <c:strCache>
            <c:ptCount val="1"/>
            <c:pt idx="0">
              <c:v>27</c:v>
            </c:pt>
          </c:strCache>
        </c:strRef>
      </c:tx>
      <c:layout>
        <c:manualLayout>
          <c:xMode val="edge"/>
          <c:yMode val="edge"/>
          <c:x val="0.41834022079698419"/>
          <c:y val="0.42495347222222224"/>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fi-FI"/>
        </a:p>
      </c:txPr>
    </c:title>
    <c:autoTitleDeleted val="0"/>
    <c:plotArea>
      <c:layout>
        <c:manualLayout>
          <c:layoutTarget val="inner"/>
          <c:xMode val="edge"/>
          <c:yMode val="edge"/>
          <c:x val="5.1423611111111114E-2"/>
          <c:y val="4.0890972222222224E-2"/>
          <c:w val="0.94501033628999298"/>
          <c:h val="0.96979218540657131"/>
        </c:manualLayout>
      </c:layout>
      <c:doughnutChart>
        <c:varyColors val="1"/>
        <c:ser>
          <c:idx val="0"/>
          <c:order val="0"/>
          <c:dPt>
            <c:idx val="0"/>
            <c:bubble3D val="0"/>
            <c:spPr>
              <a:solidFill>
                <a:srgbClr val="159637"/>
              </a:solidFill>
              <a:ln w="19050">
                <a:solidFill>
                  <a:schemeClr val="lt1"/>
                </a:solidFill>
              </a:ln>
              <a:effectLst/>
            </c:spPr>
            <c:extLst>
              <c:ext xmlns:c16="http://schemas.microsoft.com/office/drawing/2014/chart" uri="{C3380CC4-5D6E-409C-BE32-E72D297353CC}">
                <c16:uniqueId val="{00000001-2A91-46E0-A5EF-2C8BFEDFD28A}"/>
              </c:ext>
            </c:extLst>
          </c:dPt>
          <c:dPt>
            <c:idx val="1"/>
            <c:bubble3D val="0"/>
            <c:spPr>
              <a:solidFill>
                <a:srgbClr val="92D050"/>
              </a:solidFill>
              <a:ln w="19050">
                <a:solidFill>
                  <a:schemeClr val="lt1"/>
                </a:solidFill>
              </a:ln>
              <a:effectLst/>
            </c:spPr>
            <c:extLst>
              <c:ext xmlns:c16="http://schemas.microsoft.com/office/drawing/2014/chart" uri="{C3380CC4-5D6E-409C-BE32-E72D297353CC}">
                <c16:uniqueId val="{00000003-2A91-46E0-A5EF-2C8BFEDFD28A}"/>
              </c:ext>
            </c:extLst>
          </c:dPt>
          <c:dPt>
            <c:idx val="2"/>
            <c:bubble3D val="0"/>
            <c:spPr>
              <a:solidFill>
                <a:srgbClr val="FFC000"/>
              </a:solidFill>
              <a:ln w="19050">
                <a:solidFill>
                  <a:schemeClr val="lt1"/>
                </a:solidFill>
              </a:ln>
              <a:effectLst/>
            </c:spPr>
            <c:extLst>
              <c:ext xmlns:c16="http://schemas.microsoft.com/office/drawing/2014/chart" uri="{C3380CC4-5D6E-409C-BE32-E72D297353CC}">
                <c16:uniqueId val="{00000005-2A91-46E0-A5EF-2C8BFEDFD28A}"/>
              </c:ext>
            </c:extLst>
          </c:dPt>
          <c:dPt>
            <c:idx val="3"/>
            <c:bubble3D val="0"/>
            <c:spPr>
              <a:solidFill>
                <a:srgbClr val="FF0000"/>
              </a:solidFill>
              <a:ln w="19050">
                <a:solidFill>
                  <a:schemeClr val="lt1"/>
                </a:solidFill>
              </a:ln>
              <a:effectLst/>
            </c:spPr>
            <c:extLst>
              <c:ext xmlns:c16="http://schemas.microsoft.com/office/drawing/2014/chart" uri="{C3380CC4-5D6E-409C-BE32-E72D297353CC}">
                <c16:uniqueId val="{00000007-2A91-46E0-A5EF-2C8BFEDFD28A}"/>
              </c:ext>
            </c:extLst>
          </c:dPt>
          <c:dPt>
            <c:idx val="4"/>
            <c:bubble3D val="0"/>
            <c:spPr>
              <a:solidFill>
                <a:srgbClr val="FCEFE0"/>
              </a:solidFill>
              <a:ln w="19050">
                <a:solidFill>
                  <a:schemeClr val="lt1"/>
                </a:solidFill>
              </a:ln>
              <a:effectLst/>
            </c:spPr>
            <c:extLst>
              <c:ext xmlns:c16="http://schemas.microsoft.com/office/drawing/2014/chart" uri="{C3380CC4-5D6E-409C-BE32-E72D297353CC}">
                <c16:uniqueId val="{00000009-2A91-46E0-A5EF-2C8BFEDFD28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fi-FI"/>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val>
            <c:numRef>
              <c:f>'R7'!$AA$33:$AA$37</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A-2A91-46E0-A5EF-2C8BFEDFD28A}"/>
            </c:ext>
          </c:extLst>
        </c:ser>
        <c:dLbls>
          <c:showLegendKey val="0"/>
          <c:showVal val="0"/>
          <c:showCatName val="0"/>
          <c:showSerName val="0"/>
          <c:showPercent val="0"/>
          <c:showBubbleSize val="0"/>
          <c:showLeaderLines val="1"/>
        </c:dLbls>
        <c:firstSliceAng val="0"/>
        <c:holeSize val="40"/>
      </c:doughnut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fi-FI"/>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'R7'!$W$38</c:f>
          <c:strCache>
            <c:ptCount val="1"/>
            <c:pt idx="0">
              <c:v>3</c:v>
            </c:pt>
          </c:strCache>
        </c:strRef>
      </c:tx>
      <c:layout>
        <c:manualLayout>
          <c:xMode val="edge"/>
          <c:yMode val="edge"/>
          <c:x val="0.4553388888888889"/>
          <c:y val="0.42495347222222224"/>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fi-FI"/>
        </a:p>
      </c:txPr>
    </c:title>
    <c:autoTitleDeleted val="0"/>
    <c:plotArea>
      <c:layout>
        <c:manualLayout>
          <c:layoutTarget val="inner"/>
          <c:xMode val="edge"/>
          <c:yMode val="edge"/>
          <c:x val="5.1423611111111114E-2"/>
          <c:y val="4.0890972222222224E-2"/>
          <c:w val="0.94501033628999298"/>
          <c:h val="0.96979218540657131"/>
        </c:manualLayout>
      </c:layout>
      <c:doughnutChart>
        <c:varyColors val="1"/>
        <c:ser>
          <c:idx val="0"/>
          <c:order val="0"/>
          <c:dPt>
            <c:idx val="0"/>
            <c:bubble3D val="0"/>
            <c:spPr>
              <a:solidFill>
                <a:srgbClr val="159637"/>
              </a:solidFill>
              <a:ln w="19050">
                <a:solidFill>
                  <a:schemeClr val="lt1"/>
                </a:solidFill>
              </a:ln>
              <a:effectLst/>
            </c:spPr>
            <c:extLst>
              <c:ext xmlns:c16="http://schemas.microsoft.com/office/drawing/2014/chart" uri="{C3380CC4-5D6E-409C-BE32-E72D297353CC}">
                <c16:uniqueId val="{00000001-BADC-46DA-B452-2417A0912E12}"/>
              </c:ext>
            </c:extLst>
          </c:dPt>
          <c:dPt>
            <c:idx val="1"/>
            <c:bubble3D val="0"/>
            <c:spPr>
              <a:solidFill>
                <a:srgbClr val="92D050"/>
              </a:solidFill>
              <a:ln w="19050">
                <a:solidFill>
                  <a:schemeClr val="lt1"/>
                </a:solidFill>
              </a:ln>
              <a:effectLst/>
            </c:spPr>
            <c:extLst>
              <c:ext xmlns:c16="http://schemas.microsoft.com/office/drawing/2014/chart" uri="{C3380CC4-5D6E-409C-BE32-E72D297353CC}">
                <c16:uniqueId val="{00000003-BADC-46DA-B452-2417A0912E12}"/>
              </c:ext>
            </c:extLst>
          </c:dPt>
          <c:dPt>
            <c:idx val="2"/>
            <c:bubble3D val="0"/>
            <c:spPr>
              <a:solidFill>
                <a:srgbClr val="FFC000"/>
              </a:solidFill>
              <a:ln w="19050">
                <a:solidFill>
                  <a:schemeClr val="lt1"/>
                </a:solidFill>
              </a:ln>
              <a:effectLst/>
            </c:spPr>
            <c:extLst>
              <c:ext xmlns:c16="http://schemas.microsoft.com/office/drawing/2014/chart" uri="{C3380CC4-5D6E-409C-BE32-E72D297353CC}">
                <c16:uniqueId val="{00000005-BADC-46DA-B452-2417A0912E12}"/>
              </c:ext>
            </c:extLst>
          </c:dPt>
          <c:dPt>
            <c:idx val="3"/>
            <c:bubble3D val="0"/>
            <c:spPr>
              <a:solidFill>
                <a:srgbClr val="FF0000"/>
              </a:solidFill>
              <a:ln w="19050">
                <a:solidFill>
                  <a:schemeClr val="lt1"/>
                </a:solidFill>
              </a:ln>
              <a:effectLst/>
            </c:spPr>
            <c:extLst>
              <c:ext xmlns:c16="http://schemas.microsoft.com/office/drawing/2014/chart" uri="{C3380CC4-5D6E-409C-BE32-E72D297353CC}">
                <c16:uniqueId val="{00000007-BADC-46DA-B452-2417A0912E12}"/>
              </c:ext>
            </c:extLst>
          </c:dPt>
          <c:dPt>
            <c:idx val="4"/>
            <c:bubble3D val="0"/>
            <c:spPr>
              <a:solidFill>
                <a:srgbClr val="FCEFE0"/>
              </a:solidFill>
              <a:ln w="19050">
                <a:solidFill>
                  <a:schemeClr val="lt1"/>
                </a:solidFill>
              </a:ln>
              <a:effectLst/>
            </c:spPr>
            <c:extLst>
              <c:ext xmlns:c16="http://schemas.microsoft.com/office/drawing/2014/chart" uri="{C3380CC4-5D6E-409C-BE32-E72D297353CC}">
                <c16:uniqueId val="{00000009-BADC-46DA-B452-2417A0912E12}"/>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fi-FI"/>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val>
            <c:numRef>
              <c:f>'R7'!$W$39:$W$43</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A-BADC-46DA-B452-2417A0912E12}"/>
            </c:ext>
          </c:extLst>
        </c:ser>
        <c:dLbls>
          <c:showLegendKey val="0"/>
          <c:showVal val="0"/>
          <c:showCatName val="0"/>
          <c:showSerName val="0"/>
          <c:showPercent val="0"/>
          <c:showBubbleSize val="0"/>
          <c:showLeaderLines val="1"/>
        </c:dLbls>
        <c:firstSliceAng val="0"/>
        <c:holeSize val="40"/>
      </c:doughnutChart>
    </c:plotArea>
    <c:plotVisOnly val="1"/>
    <c:dispBlanksAs val="gap"/>
    <c:showDLblsOverMax val="0"/>
  </c:chart>
  <c:spPr>
    <a:solidFill>
      <a:schemeClr val="bg1"/>
    </a:solidFill>
    <a:ln w="9525" cap="flat" cmpd="sng" algn="ctr">
      <a:noFill/>
      <a:round/>
    </a:ln>
    <a:effectLst/>
  </c:spPr>
  <c:txPr>
    <a:bodyPr/>
    <a:lstStyle/>
    <a:p>
      <a:pPr>
        <a:defRPr/>
      </a:pPr>
      <a:endParaRPr lang="fi-FI"/>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'R7'!$Y$38</c:f>
          <c:strCache>
            <c:ptCount val="1"/>
            <c:pt idx="0">
              <c:v>4</c:v>
            </c:pt>
          </c:strCache>
        </c:strRef>
      </c:tx>
      <c:layout>
        <c:manualLayout>
          <c:xMode val="edge"/>
          <c:yMode val="edge"/>
          <c:x val="0.4553388888888889"/>
          <c:y val="0.42495347222222224"/>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fi-FI"/>
        </a:p>
      </c:txPr>
    </c:title>
    <c:autoTitleDeleted val="0"/>
    <c:plotArea>
      <c:layout>
        <c:manualLayout>
          <c:layoutTarget val="inner"/>
          <c:xMode val="edge"/>
          <c:yMode val="edge"/>
          <c:x val="5.1423611111111114E-2"/>
          <c:y val="4.0890972222222224E-2"/>
          <c:w val="0.94501033628999298"/>
          <c:h val="0.96979218540657131"/>
        </c:manualLayout>
      </c:layout>
      <c:doughnutChart>
        <c:varyColors val="1"/>
        <c:ser>
          <c:idx val="0"/>
          <c:order val="0"/>
          <c:dPt>
            <c:idx val="0"/>
            <c:bubble3D val="0"/>
            <c:spPr>
              <a:solidFill>
                <a:srgbClr val="159637"/>
              </a:solidFill>
              <a:ln w="19050">
                <a:solidFill>
                  <a:schemeClr val="lt1"/>
                </a:solidFill>
              </a:ln>
              <a:effectLst/>
            </c:spPr>
            <c:extLst>
              <c:ext xmlns:c16="http://schemas.microsoft.com/office/drawing/2014/chart" uri="{C3380CC4-5D6E-409C-BE32-E72D297353CC}">
                <c16:uniqueId val="{00000001-C5D2-43A4-B2D5-D9590FF6C9A1}"/>
              </c:ext>
            </c:extLst>
          </c:dPt>
          <c:dPt>
            <c:idx val="1"/>
            <c:bubble3D val="0"/>
            <c:spPr>
              <a:solidFill>
                <a:srgbClr val="92D050"/>
              </a:solidFill>
              <a:ln w="19050">
                <a:solidFill>
                  <a:schemeClr val="lt1"/>
                </a:solidFill>
              </a:ln>
              <a:effectLst/>
            </c:spPr>
            <c:extLst>
              <c:ext xmlns:c16="http://schemas.microsoft.com/office/drawing/2014/chart" uri="{C3380CC4-5D6E-409C-BE32-E72D297353CC}">
                <c16:uniqueId val="{00000003-C5D2-43A4-B2D5-D9590FF6C9A1}"/>
              </c:ext>
            </c:extLst>
          </c:dPt>
          <c:dPt>
            <c:idx val="2"/>
            <c:bubble3D val="0"/>
            <c:spPr>
              <a:solidFill>
                <a:srgbClr val="FFC000"/>
              </a:solidFill>
              <a:ln w="19050">
                <a:solidFill>
                  <a:schemeClr val="lt1"/>
                </a:solidFill>
              </a:ln>
              <a:effectLst/>
            </c:spPr>
            <c:extLst>
              <c:ext xmlns:c16="http://schemas.microsoft.com/office/drawing/2014/chart" uri="{C3380CC4-5D6E-409C-BE32-E72D297353CC}">
                <c16:uniqueId val="{00000005-C5D2-43A4-B2D5-D9590FF6C9A1}"/>
              </c:ext>
            </c:extLst>
          </c:dPt>
          <c:dPt>
            <c:idx val="3"/>
            <c:bubble3D val="0"/>
            <c:spPr>
              <a:solidFill>
                <a:srgbClr val="FF0000"/>
              </a:solidFill>
              <a:ln w="19050">
                <a:solidFill>
                  <a:schemeClr val="lt1"/>
                </a:solidFill>
              </a:ln>
              <a:effectLst/>
            </c:spPr>
            <c:extLst>
              <c:ext xmlns:c16="http://schemas.microsoft.com/office/drawing/2014/chart" uri="{C3380CC4-5D6E-409C-BE32-E72D297353CC}">
                <c16:uniqueId val="{00000007-C5D2-43A4-B2D5-D9590FF6C9A1}"/>
              </c:ext>
            </c:extLst>
          </c:dPt>
          <c:dPt>
            <c:idx val="4"/>
            <c:bubble3D val="0"/>
            <c:spPr>
              <a:solidFill>
                <a:srgbClr val="FCEFE0"/>
              </a:solidFill>
              <a:ln w="19050">
                <a:solidFill>
                  <a:schemeClr val="lt1"/>
                </a:solidFill>
              </a:ln>
              <a:effectLst/>
            </c:spPr>
            <c:extLst>
              <c:ext xmlns:c16="http://schemas.microsoft.com/office/drawing/2014/chart" uri="{C3380CC4-5D6E-409C-BE32-E72D297353CC}">
                <c16:uniqueId val="{00000009-C5D2-43A4-B2D5-D9590FF6C9A1}"/>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fi-FI"/>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val>
            <c:numRef>
              <c:f>'R7'!$Y$39:$Y$43</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A-C5D2-43A4-B2D5-D9590FF6C9A1}"/>
            </c:ext>
          </c:extLst>
        </c:ser>
        <c:dLbls>
          <c:showLegendKey val="0"/>
          <c:showVal val="0"/>
          <c:showCatName val="0"/>
          <c:showSerName val="0"/>
          <c:showPercent val="0"/>
          <c:showBubbleSize val="0"/>
          <c:showLeaderLines val="1"/>
        </c:dLbls>
        <c:firstSliceAng val="0"/>
        <c:holeSize val="40"/>
      </c:doughnutChart>
    </c:plotArea>
    <c:plotVisOnly val="1"/>
    <c:dispBlanksAs val="gap"/>
    <c:showDLblsOverMax val="0"/>
  </c:chart>
  <c:spPr>
    <a:solidFill>
      <a:schemeClr val="bg1"/>
    </a:solidFill>
    <a:ln w="9525" cap="flat" cmpd="sng" algn="ctr">
      <a:noFill/>
      <a:round/>
    </a:ln>
    <a:effectLst/>
  </c:spPr>
  <c:txPr>
    <a:bodyPr/>
    <a:lstStyle/>
    <a:p>
      <a:pPr>
        <a:defRPr/>
      </a:pPr>
      <a:endParaRPr lang="fi-FI"/>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'R7'!$Z$38</c:f>
          <c:strCache>
            <c:ptCount val="1"/>
            <c:pt idx="0">
              <c:v>7</c:v>
            </c:pt>
          </c:strCache>
        </c:strRef>
      </c:tx>
      <c:layout>
        <c:manualLayout>
          <c:xMode val="edge"/>
          <c:yMode val="edge"/>
          <c:x val="0.4553388888888889"/>
          <c:y val="0.42495347222222224"/>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fi-FI"/>
        </a:p>
      </c:txPr>
    </c:title>
    <c:autoTitleDeleted val="0"/>
    <c:plotArea>
      <c:layout>
        <c:manualLayout>
          <c:layoutTarget val="inner"/>
          <c:xMode val="edge"/>
          <c:yMode val="edge"/>
          <c:x val="5.1423611111111114E-2"/>
          <c:y val="4.0890972222222224E-2"/>
          <c:w val="0.94501033628999298"/>
          <c:h val="0.96979218540657131"/>
        </c:manualLayout>
      </c:layout>
      <c:doughnutChart>
        <c:varyColors val="1"/>
        <c:ser>
          <c:idx val="0"/>
          <c:order val="0"/>
          <c:dPt>
            <c:idx val="0"/>
            <c:bubble3D val="0"/>
            <c:spPr>
              <a:solidFill>
                <a:srgbClr val="159637"/>
              </a:solidFill>
              <a:ln w="19050">
                <a:solidFill>
                  <a:schemeClr val="lt1"/>
                </a:solidFill>
              </a:ln>
              <a:effectLst/>
            </c:spPr>
            <c:extLst>
              <c:ext xmlns:c16="http://schemas.microsoft.com/office/drawing/2014/chart" uri="{C3380CC4-5D6E-409C-BE32-E72D297353CC}">
                <c16:uniqueId val="{00000001-C04F-4059-A184-516D23C9F1FA}"/>
              </c:ext>
            </c:extLst>
          </c:dPt>
          <c:dPt>
            <c:idx val="1"/>
            <c:bubble3D val="0"/>
            <c:spPr>
              <a:solidFill>
                <a:srgbClr val="92D050"/>
              </a:solidFill>
              <a:ln w="19050">
                <a:solidFill>
                  <a:schemeClr val="lt1"/>
                </a:solidFill>
              </a:ln>
              <a:effectLst/>
            </c:spPr>
            <c:extLst>
              <c:ext xmlns:c16="http://schemas.microsoft.com/office/drawing/2014/chart" uri="{C3380CC4-5D6E-409C-BE32-E72D297353CC}">
                <c16:uniqueId val="{00000003-C04F-4059-A184-516D23C9F1FA}"/>
              </c:ext>
            </c:extLst>
          </c:dPt>
          <c:dPt>
            <c:idx val="2"/>
            <c:bubble3D val="0"/>
            <c:spPr>
              <a:solidFill>
                <a:srgbClr val="FFC000"/>
              </a:solidFill>
              <a:ln w="19050">
                <a:solidFill>
                  <a:schemeClr val="lt1"/>
                </a:solidFill>
              </a:ln>
              <a:effectLst/>
            </c:spPr>
            <c:extLst>
              <c:ext xmlns:c16="http://schemas.microsoft.com/office/drawing/2014/chart" uri="{C3380CC4-5D6E-409C-BE32-E72D297353CC}">
                <c16:uniqueId val="{00000005-C04F-4059-A184-516D23C9F1FA}"/>
              </c:ext>
            </c:extLst>
          </c:dPt>
          <c:dPt>
            <c:idx val="3"/>
            <c:bubble3D val="0"/>
            <c:spPr>
              <a:solidFill>
                <a:srgbClr val="FF0000"/>
              </a:solidFill>
              <a:ln w="19050">
                <a:solidFill>
                  <a:schemeClr val="lt1"/>
                </a:solidFill>
              </a:ln>
              <a:effectLst/>
            </c:spPr>
            <c:extLst>
              <c:ext xmlns:c16="http://schemas.microsoft.com/office/drawing/2014/chart" uri="{C3380CC4-5D6E-409C-BE32-E72D297353CC}">
                <c16:uniqueId val="{00000007-C04F-4059-A184-516D23C9F1FA}"/>
              </c:ext>
            </c:extLst>
          </c:dPt>
          <c:dPt>
            <c:idx val="4"/>
            <c:bubble3D val="0"/>
            <c:spPr>
              <a:solidFill>
                <a:srgbClr val="FCEFE0"/>
              </a:solidFill>
              <a:ln w="19050">
                <a:solidFill>
                  <a:schemeClr val="lt1"/>
                </a:solidFill>
              </a:ln>
              <a:effectLst/>
            </c:spPr>
            <c:extLst>
              <c:ext xmlns:c16="http://schemas.microsoft.com/office/drawing/2014/chart" uri="{C3380CC4-5D6E-409C-BE32-E72D297353CC}">
                <c16:uniqueId val="{00000009-C04F-4059-A184-516D23C9F1F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fi-FI"/>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val>
            <c:numRef>
              <c:f>'R7'!$Z$39:$Z$43</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A-C04F-4059-A184-516D23C9F1FA}"/>
            </c:ext>
          </c:extLst>
        </c:ser>
        <c:dLbls>
          <c:showLegendKey val="0"/>
          <c:showVal val="0"/>
          <c:showCatName val="0"/>
          <c:showSerName val="0"/>
          <c:showPercent val="0"/>
          <c:showBubbleSize val="0"/>
          <c:showLeaderLines val="1"/>
        </c:dLbls>
        <c:firstSliceAng val="0"/>
        <c:holeSize val="40"/>
      </c:doughnutChart>
    </c:plotArea>
    <c:plotVisOnly val="1"/>
    <c:dispBlanksAs val="gap"/>
    <c:showDLblsOverMax val="0"/>
  </c:chart>
  <c:spPr>
    <a:solidFill>
      <a:schemeClr val="bg1"/>
    </a:solidFill>
    <a:ln w="9525" cap="flat" cmpd="sng" algn="ctr">
      <a:noFill/>
      <a:round/>
    </a:ln>
    <a:effectLst/>
  </c:spPr>
  <c:txPr>
    <a:bodyPr/>
    <a:lstStyle/>
    <a:p>
      <a:pPr>
        <a:defRPr/>
      </a:pPr>
      <a:endParaRPr lang="fi-FI"/>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'R7'!$AA$38</c:f>
          <c:strCache>
            <c:ptCount val="1"/>
            <c:pt idx="0">
              <c:v>4</c:v>
            </c:pt>
          </c:strCache>
        </c:strRef>
      </c:tx>
      <c:layout>
        <c:manualLayout>
          <c:xMode val="edge"/>
          <c:yMode val="edge"/>
          <c:x val="0.4553388888888889"/>
          <c:y val="0.42495347222222224"/>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fi-FI"/>
        </a:p>
      </c:txPr>
    </c:title>
    <c:autoTitleDeleted val="0"/>
    <c:plotArea>
      <c:layout>
        <c:manualLayout>
          <c:layoutTarget val="inner"/>
          <c:xMode val="edge"/>
          <c:yMode val="edge"/>
          <c:x val="5.1423611111111114E-2"/>
          <c:y val="4.0890972222222224E-2"/>
          <c:w val="0.94501033628999298"/>
          <c:h val="0.96979218540657131"/>
        </c:manualLayout>
      </c:layout>
      <c:doughnutChart>
        <c:varyColors val="1"/>
        <c:ser>
          <c:idx val="0"/>
          <c:order val="0"/>
          <c:dPt>
            <c:idx val="0"/>
            <c:bubble3D val="0"/>
            <c:spPr>
              <a:solidFill>
                <a:srgbClr val="159637"/>
              </a:solidFill>
              <a:ln w="19050">
                <a:solidFill>
                  <a:schemeClr val="lt1"/>
                </a:solidFill>
              </a:ln>
              <a:effectLst/>
            </c:spPr>
            <c:extLst>
              <c:ext xmlns:c16="http://schemas.microsoft.com/office/drawing/2014/chart" uri="{C3380CC4-5D6E-409C-BE32-E72D297353CC}">
                <c16:uniqueId val="{00000001-D7BC-4DE9-80B1-70C7A0F7E652}"/>
              </c:ext>
            </c:extLst>
          </c:dPt>
          <c:dPt>
            <c:idx val="1"/>
            <c:bubble3D val="0"/>
            <c:spPr>
              <a:solidFill>
                <a:srgbClr val="92D050"/>
              </a:solidFill>
              <a:ln w="19050">
                <a:solidFill>
                  <a:schemeClr val="lt1"/>
                </a:solidFill>
              </a:ln>
              <a:effectLst/>
            </c:spPr>
            <c:extLst>
              <c:ext xmlns:c16="http://schemas.microsoft.com/office/drawing/2014/chart" uri="{C3380CC4-5D6E-409C-BE32-E72D297353CC}">
                <c16:uniqueId val="{00000003-D7BC-4DE9-80B1-70C7A0F7E652}"/>
              </c:ext>
            </c:extLst>
          </c:dPt>
          <c:dPt>
            <c:idx val="2"/>
            <c:bubble3D val="0"/>
            <c:spPr>
              <a:solidFill>
                <a:srgbClr val="FFC000"/>
              </a:solidFill>
              <a:ln w="19050">
                <a:solidFill>
                  <a:schemeClr val="lt1"/>
                </a:solidFill>
              </a:ln>
              <a:effectLst/>
            </c:spPr>
            <c:extLst>
              <c:ext xmlns:c16="http://schemas.microsoft.com/office/drawing/2014/chart" uri="{C3380CC4-5D6E-409C-BE32-E72D297353CC}">
                <c16:uniqueId val="{00000005-D7BC-4DE9-80B1-70C7A0F7E652}"/>
              </c:ext>
            </c:extLst>
          </c:dPt>
          <c:dPt>
            <c:idx val="3"/>
            <c:bubble3D val="0"/>
            <c:spPr>
              <a:solidFill>
                <a:srgbClr val="FF0000"/>
              </a:solidFill>
              <a:ln w="19050">
                <a:solidFill>
                  <a:schemeClr val="lt1"/>
                </a:solidFill>
              </a:ln>
              <a:effectLst/>
            </c:spPr>
            <c:extLst>
              <c:ext xmlns:c16="http://schemas.microsoft.com/office/drawing/2014/chart" uri="{C3380CC4-5D6E-409C-BE32-E72D297353CC}">
                <c16:uniqueId val="{00000007-D7BC-4DE9-80B1-70C7A0F7E652}"/>
              </c:ext>
            </c:extLst>
          </c:dPt>
          <c:dPt>
            <c:idx val="4"/>
            <c:bubble3D val="0"/>
            <c:spPr>
              <a:solidFill>
                <a:srgbClr val="FCEFE0"/>
              </a:solidFill>
              <a:ln w="19050">
                <a:solidFill>
                  <a:schemeClr val="lt1"/>
                </a:solidFill>
              </a:ln>
              <a:effectLst/>
            </c:spPr>
            <c:extLst>
              <c:ext xmlns:c16="http://schemas.microsoft.com/office/drawing/2014/chart" uri="{C3380CC4-5D6E-409C-BE32-E72D297353CC}">
                <c16:uniqueId val="{00000009-D7BC-4DE9-80B1-70C7A0F7E652}"/>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fi-FI"/>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val>
            <c:numRef>
              <c:f>'R7'!$AA$39:$AA$43</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A-D7BC-4DE9-80B1-70C7A0F7E652}"/>
            </c:ext>
          </c:extLst>
        </c:ser>
        <c:dLbls>
          <c:showLegendKey val="0"/>
          <c:showVal val="0"/>
          <c:showCatName val="0"/>
          <c:showSerName val="0"/>
          <c:showPercent val="0"/>
          <c:showBubbleSize val="0"/>
          <c:showLeaderLines val="1"/>
        </c:dLbls>
        <c:firstSliceAng val="0"/>
        <c:holeSize val="40"/>
      </c:doughnutChart>
    </c:plotArea>
    <c:plotVisOnly val="1"/>
    <c:dispBlanksAs val="gap"/>
    <c:showDLblsOverMax val="0"/>
  </c:chart>
  <c:spPr>
    <a:solidFill>
      <a:schemeClr val="bg1"/>
    </a:solidFill>
    <a:ln w="9525" cap="flat" cmpd="sng" algn="ctr">
      <a:noFill/>
      <a:round/>
    </a:ln>
    <a:effectLst/>
  </c:spPr>
  <c:txPr>
    <a:bodyPr/>
    <a:lstStyle/>
    <a:p>
      <a:pPr>
        <a:defRPr/>
      </a:pPr>
      <a:endParaRPr lang="fi-FI"/>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'R7'!$X$38</c:f>
          <c:strCache>
            <c:ptCount val="1"/>
            <c:pt idx="0">
              <c:v>9</c:v>
            </c:pt>
          </c:strCache>
        </c:strRef>
      </c:tx>
      <c:layout>
        <c:manualLayout>
          <c:xMode val="edge"/>
          <c:yMode val="edge"/>
          <c:x val="0.4553388888888889"/>
          <c:y val="0.42495347222222224"/>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fi-FI"/>
        </a:p>
      </c:txPr>
    </c:title>
    <c:autoTitleDeleted val="0"/>
    <c:plotArea>
      <c:layout>
        <c:manualLayout>
          <c:layoutTarget val="inner"/>
          <c:xMode val="edge"/>
          <c:yMode val="edge"/>
          <c:x val="5.1423611111111114E-2"/>
          <c:y val="4.0890972222222224E-2"/>
          <c:w val="0.94501033628999298"/>
          <c:h val="0.96979218540657131"/>
        </c:manualLayout>
      </c:layout>
      <c:doughnutChart>
        <c:varyColors val="1"/>
        <c:ser>
          <c:idx val="0"/>
          <c:order val="0"/>
          <c:dPt>
            <c:idx val="0"/>
            <c:bubble3D val="0"/>
            <c:spPr>
              <a:solidFill>
                <a:srgbClr val="159637"/>
              </a:solidFill>
              <a:ln w="19050">
                <a:solidFill>
                  <a:schemeClr val="lt1"/>
                </a:solidFill>
              </a:ln>
              <a:effectLst/>
            </c:spPr>
            <c:extLst>
              <c:ext xmlns:c16="http://schemas.microsoft.com/office/drawing/2014/chart" uri="{C3380CC4-5D6E-409C-BE32-E72D297353CC}">
                <c16:uniqueId val="{00000001-C190-4F8A-8AC6-6738256FD0F3}"/>
              </c:ext>
            </c:extLst>
          </c:dPt>
          <c:dPt>
            <c:idx val="1"/>
            <c:bubble3D val="0"/>
            <c:spPr>
              <a:solidFill>
                <a:srgbClr val="92D050"/>
              </a:solidFill>
              <a:ln w="19050">
                <a:solidFill>
                  <a:schemeClr val="lt1"/>
                </a:solidFill>
              </a:ln>
              <a:effectLst/>
            </c:spPr>
            <c:extLst>
              <c:ext xmlns:c16="http://schemas.microsoft.com/office/drawing/2014/chart" uri="{C3380CC4-5D6E-409C-BE32-E72D297353CC}">
                <c16:uniqueId val="{00000003-C190-4F8A-8AC6-6738256FD0F3}"/>
              </c:ext>
            </c:extLst>
          </c:dPt>
          <c:dPt>
            <c:idx val="2"/>
            <c:bubble3D val="0"/>
            <c:spPr>
              <a:solidFill>
                <a:srgbClr val="FFC000"/>
              </a:solidFill>
              <a:ln w="19050">
                <a:solidFill>
                  <a:schemeClr val="lt1"/>
                </a:solidFill>
              </a:ln>
              <a:effectLst/>
            </c:spPr>
            <c:extLst>
              <c:ext xmlns:c16="http://schemas.microsoft.com/office/drawing/2014/chart" uri="{C3380CC4-5D6E-409C-BE32-E72D297353CC}">
                <c16:uniqueId val="{00000005-C190-4F8A-8AC6-6738256FD0F3}"/>
              </c:ext>
            </c:extLst>
          </c:dPt>
          <c:dPt>
            <c:idx val="3"/>
            <c:bubble3D val="0"/>
            <c:spPr>
              <a:solidFill>
                <a:srgbClr val="FF0000"/>
              </a:solidFill>
              <a:ln w="19050">
                <a:solidFill>
                  <a:schemeClr val="lt1"/>
                </a:solidFill>
              </a:ln>
              <a:effectLst/>
            </c:spPr>
            <c:extLst>
              <c:ext xmlns:c16="http://schemas.microsoft.com/office/drawing/2014/chart" uri="{C3380CC4-5D6E-409C-BE32-E72D297353CC}">
                <c16:uniqueId val="{00000007-C190-4F8A-8AC6-6738256FD0F3}"/>
              </c:ext>
            </c:extLst>
          </c:dPt>
          <c:dPt>
            <c:idx val="4"/>
            <c:bubble3D val="0"/>
            <c:spPr>
              <a:solidFill>
                <a:srgbClr val="FCEFE0"/>
              </a:solidFill>
              <a:ln w="19050">
                <a:solidFill>
                  <a:schemeClr val="lt1"/>
                </a:solidFill>
              </a:ln>
              <a:effectLst/>
            </c:spPr>
            <c:extLst>
              <c:ext xmlns:c16="http://schemas.microsoft.com/office/drawing/2014/chart" uri="{C3380CC4-5D6E-409C-BE32-E72D297353CC}">
                <c16:uniqueId val="{00000009-C190-4F8A-8AC6-6738256FD0F3}"/>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fi-FI"/>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val>
            <c:numRef>
              <c:f>'R7'!$X$39:$X$43</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A-C190-4F8A-8AC6-6738256FD0F3}"/>
            </c:ext>
          </c:extLst>
        </c:ser>
        <c:dLbls>
          <c:showLegendKey val="0"/>
          <c:showVal val="0"/>
          <c:showCatName val="0"/>
          <c:showSerName val="0"/>
          <c:showPercent val="0"/>
          <c:showBubbleSize val="0"/>
          <c:showLeaderLines val="1"/>
        </c:dLbls>
        <c:firstSliceAng val="0"/>
        <c:holeSize val="40"/>
      </c:doughnutChart>
    </c:plotArea>
    <c:plotVisOnly val="1"/>
    <c:dispBlanksAs val="gap"/>
    <c:showDLblsOverMax val="0"/>
  </c:chart>
  <c:spPr>
    <a:solidFill>
      <a:schemeClr val="bg1"/>
    </a:solidFill>
    <a:ln w="9525" cap="flat" cmpd="sng" algn="ctr">
      <a:noFill/>
      <a:round/>
    </a:ln>
    <a:effectLst/>
  </c:spPr>
  <c:txPr>
    <a:bodyPr/>
    <a:lstStyle/>
    <a:p>
      <a:pPr>
        <a:defRPr/>
      </a:pPr>
      <a:endParaRPr lang="fi-FI"/>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'R7'!$AB$26</c:f>
          <c:strCache>
            <c:ptCount val="1"/>
            <c:pt idx="0">
              <c:v>9</c:v>
            </c:pt>
          </c:strCache>
        </c:strRef>
      </c:tx>
      <c:layout>
        <c:manualLayout>
          <c:xMode val="edge"/>
          <c:yMode val="edge"/>
          <c:x val="0.4645406052420693"/>
          <c:y val="0.42495347222222224"/>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fi-FI"/>
        </a:p>
      </c:txPr>
    </c:title>
    <c:autoTitleDeleted val="0"/>
    <c:plotArea>
      <c:layout>
        <c:manualLayout>
          <c:layoutTarget val="inner"/>
          <c:xMode val="edge"/>
          <c:yMode val="edge"/>
          <c:x val="5.1423611111111114E-2"/>
          <c:y val="4.0890972222222224E-2"/>
          <c:w val="0.94501033628999298"/>
          <c:h val="0.96979218540657131"/>
        </c:manualLayout>
      </c:layout>
      <c:doughnutChart>
        <c:varyColors val="1"/>
        <c:ser>
          <c:idx val="0"/>
          <c:order val="0"/>
          <c:dPt>
            <c:idx val="0"/>
            <c:bubble3D val="0"/>
            <c:spPr>
              <a:solidFill>
                <a:srgbClr val="159637"/>
              </a:solidFill>
              <a:ln w="19050">
                <a:solidFill>
                  <a:schemeClr val="lt1"/>
                </a:solidFill>
              </a:ln>
              <a:effectLst/>
            </c:spPr>
            <c:extLst>
              <c:ext xmlns:c16="http://schemas.microsoft.com/office/drawing/2014/chart" uri="{C3380CC4-5D6E-409C-BE32-E72D297353CC}">
                <c16:uniqueId val="{00000001-1FF8-4ADE-A696-A5A29D1F7780}"/>
              </c:ext>
            </c:extLst>
          </c:dPt>
          <c:dPt>
            <c:idx val="1"/>
            <c:bubble3D val="0"/>
            <c:spPr>
              <a:solidFill>
                <a:srgbClr val="92D050"/>
              </a:solidFill>
              <a:ln w="19050">
                <a:solidFill>
                  <a:schemeClr val="lt1"/>
                </a:solidFill>
              </a:ln>
              <a:effectLst/>
            </c:spPr>
            <c:extLst>
              <c:ext xmlns:c16="http://schemas.microsoft.com/office/drawing/2014/chart" uri="{C3380CC4-5D6E-409C-BE32-E72D297353CC}">
                <c16:uniqueId val="{00000003-1FF8-4ADE-A696-A5A29D1F7780}"/>
              </c:ext>
            </c:extLst>
          </c:dPt>
          <c:dPt>
            <c:idx val="2"/>
            <c:bubble3D val="0"/>
            <c:spPr>
              <a:solidFill>
                <a:srgbClr val="FFC000"/>
              </a:solidFill>
              <a:ln w="19050">
                <a:solidFill>
                  <a:schemeClr val="lt1"/>
                </a:solidFill>
              </a:ln>
              <a:effectLst/>
            </c:spPr>
            <c:extLst>
              <c:ext xmlns:c16="http://schemas.microsoft.com/office/drawing/2014/chart" uri="{C3380CC4-5D6E-409C-BE32-E72D297353CC}">
                <c16:uniqueId val="{00000005-1FF8-4ADE-A696-A5A29D1F7780}"/>
              </c:ext>
            </c:extLst>
          </c:dPt>
          <c:dPt>
            <c:idx val="3"/>
            <c:bubble3D val="0"/>
            <c:spPr>
              <a:solidFill>
                <a:srgbClr val="FF0000"/>
              </a:solidFill>
              <a:ln w="19050">
                <a:solidFill>
                  <a:schemeClr val="lt1"/>
                </a:solidFill>
              </a:ln>
              <a:effectLst/>
            </c:spPr>
            <c:extLst>
              <c:ext xmlns:c16="http://schemas.microsoft.com/office/drawing/2014/chart" uri="{C3380CC4-5D6E-409C-BE32-E72D297353CC}">
                <c16:uniqueId val="{00000007-1FF8-4ADE-A696-A5A29D1F7780}"/>
              </c:ext>
            </c:extLst>
          </c:dPt>
          <c:dPt>
            <c:idx val="4"/>
            <c:bubble3D val="0"/>
            <c:spPr>
              <a:solidFill>
                <a:srgbClr val="FCEFE0"/>
              </a:solidFill>
              <a:ln w="19050">
                <a:solidFill>
                  <a:schemeClr val="lt1"/>
                </a:solidFill>
              </a:ln>
              <a:effectLst/>
            </c:spPr>
            <c:extLst>
              <c:ext xmlns:c16="http://schemas.microsoft.com/office/drawing/2014/chart" uri="{C3380CC4-5D6E-409C-BE32-E72D297353CC}">
                <c16:uniqueId val="{00000009-1FF8-4ADE-A696-A5A29D1F7780}"/>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fi-FI"/>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val>
            <c:numRef>
              <c:f>'R7'!$AB$27:$AB$31</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A-1FF8-4ADE-A696-A5A29D1F7780}"/>
            </c:ext>
          </c:extLst>
        </c:ser>
        <c:dLbls>
          <c:showLegendKey val="0"/>
          <c:showVal val="0"/>
          <c:showCatName val="0"/>
          <c:showSerName val="0"/>
          <c:showPercent val="0"/>
          <c:showBubbleSize val="0"/>
          <c:showLeaderLines val="1"/>
        </c:dLbls>
        <c:firstSliceAng val="0"/>
        <c:holeSize val="40"/>
      </c:doughnut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fi-FI"/>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'R7'!$AB$32</c:f>
          <c:strCache>
            <c:ptCount val="1"/>
            <c:pt idx="0">
              <c:v>14</c:v>
            </c:pt>
          </c:strCache>
        </c:strRef>
      </c:tx>
      <c:layout>
        <c:manualLayout>
          <c:xMode val="edge"/>
          <c:yMode val="edge"/>
          <c:x val="0.40909057803712384"/>
          <c:y val="0.42495347222222224"/>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fi-FI"/>
        </a:p>
      </c:txPr>
    </c:title>
    <c:autoTitleDeleted val="0"/>
    <c:plotArea>
      <c:layout>
        <c:manualLayout>
          <c:layoutTarget val="inner"/>
          <c:xMode val="edge"/>
          <c:yMode val="edge"/>
          <c:x val="5.1423611111111114E-2"/>
          <c:y val="4.0890972222222224E-2"/>
          <c:w val="0.94501033628999298"/>
          <c:h val="0.96979218540657131"/>
        </c:manualLayout>
      </c:layout>
      <c:doughnutChart>
        <c:varyColors val="1"/>
        <c:ser>
          <c:idx val="0"/>
          <c:order val="0"/>
          <c:dPt>
            <c:idx val="0"/>
            <c:bubble3D val="0"/>
            <c:spPr>
              <a:solidFill>
                <a:srgbClr val="159637"/>
              </a:solidFill>
              <a:ln w="19050">
                <a:solidFill>
                  <a:schemeClr val="lt1"/>
                </a:solidFill>
              </a:ln>
              <a:effectLst/>
            </c:spPr>
            <c:extLst>
              <c:ext xmlns:c16="http://schemas.microsoft.com/office/drawing/2014/chart" uri="{C3380CC4-5D6E-409C-BE32-E72D297353CC}">
                <c16:uniqueId val="{00000001-0C3A-4F77-ABD1-4E0A7087FB87}"/>
              </c:ext>
            </c:extLst>
          </c:dPt>
          <c:dPt>
            <c:idx val="1"/>
            <c:bubble3D val="0"/>
            <c:spPr>
              <a:solidFill>
                <a:srgbClr val="92D050"/>
              </a:solidFill>
              <a:ln w="19050">
                <a:solidFill>
                  <a:schemeClr val="lt1"/>
                </a:solidFill>
              </a:ln>
              <a:effectLst/>
            </c:spPr>
            <c:extLst>
              <c:ext xmlns:c16="http://schemas.microsoft.com/office/drawing/2014/chart" uri="{C3380CC4-5D6E-409C-BE32-E72D297353CC}">
                <c16:uniqueId val="{00000003-0C3A-4F77-ABD1-4E0A7087FB87}"/>
              </c:ext>
            </c:extLst>
          </c:dPt>
          <c:dPt>
            <c:idx val="2"/>
            <c:bubble3D val="0"/>
            <c:spPr>
              <a:solidFill>
                <a:srgbClr val="FFC000"/>
              </a:solidFill>
              <a:ln w="19050">
                <a:solidFill>
                  <a:schemeClr val="lt1"/>
                </a:solidFill>
              </a:ln>
              <a:effectLst/>
            </c:spPr>
            <c:extLst>
              <c:ext xmlns:c16="http://schemas.microsoft.com/office/drawing/2014/chart" uri="{C3380CC4-5D6E-409C-BE32-E72D297353CC}">
                <c16:uniqueId val="{00000005-0C3A-4F77-ABD1-4E0A7087FB87}"/>
              </c:ext>
            </c:extLst>
          </c:dPt>
          <c:dPt>
            <c:idx val="3"/>
            <c:bubble3D val="0"/>
            <c:spPr>
              <a:solidFill>
                <a:srgbClr val="FF0000"/>
              </a:solidFill>
              <a:ln w="19050">
                <a:solidFill>
                  <a:schemeClr val="lt1"/>
                </a:solidFill>
              </a:ln>
              <a:effectLst/>
            </c:spPr>
            <c:extLst>
              <c:ext xmlns:c16="http://schemas.microsoft.com/office/drawing/2014/chart" uri="{C3380CC4-5D6E-409C-BE32-E72D297353CC}">
                <c16:uniqueId val="{00000007-0C3A-4F77-ABD1-4E0A7087FB87}"/>
              </c:ext>
            </c:extLst>
          </c:dPt>
          <c:dPt>
            <c:idx val="4"/>
            <c:bubble3D val="0"/>
            <c:spPr>
              <a:solidFill>
                <a:srgbClr val="FCEFE0"/>
              </a:solidFill>
              <a:ln w="19050">
                <a:solidFill>
                  <a:schemeClr val="lt1"/>
                </a:solidFill>
              </a:ln>
              <a:effectLst/>
            </c:spPr>
            <c:extLst>
              <c:ext xmlns:c16="http://schemas.microsoft.com/office/drawing/2014/chart" uri="{C3380CC4-5D6E-409C-BE32-E72D297353CC}">
                <c16:uniqueId val="{00000009-0C3A-4F77-ABD1-4E0A7087FB87}"/>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fi-FI"/>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val>
            <c:numRef>
              <c:f>'R7'!$AB$33:$AB$37</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A-0C3A-4F77-ABD1-4E0A7087FB87}"/>
            </c:ext>
          </c:extLst>
        </c:ser>
        <c:dLbls>
          <c:showLegendKey val="0"/>
          <c:showVal val="0"/>
          <c:showCatName val="0"/>
          <c:showSerName val="0"/>
          <c:showPercent val="0"/>
          <c:showBubbleSize val="0"/>
          <c:showLeaderLines val="1"/>
        </c:dLbls>
        <c:firstSliceAng val="0"/>
        <c:holeSize val="40"/>
      </c:doughnut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fi-FI"/>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'R7'!$AB$38</c:f>
          <c:strCache>
            <c:ptCount val="1"/>
            <c:pt idx="0">
              <c:v>3</c:v>
            </c:pt>
          </c:strCache>
        </c:strRef>
      </c:tx>
      <c:layout>
        <c:manualLayout>
          <c:xMode val="edge"/>
          <c:yMode val="edge"/>
          <c:x val="0.4553388888888889"/>
          <c:y val="0.42495347222222224"/>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fi-FI"/>
        </a:p>
      </c:txPr>
    </c:title>
    <c:autoTitleDeleted val="0"/>
    <c:plotArea>
      <c:layout>
        <c:manualLayout>
          <c:layoutTarget val="inner"/>
          <c:xMode val="edge"/>
          <c:yMode val="edge"/>
          <c:x val="5.1423611111111114E-2"/>
          <c:y val="4.0890972222222224E-2"/>
          <c:w val="0.94501033628999298"/>
          <c:h val="0.96979218540657131"/>
        </c:manualLayout>
      </c:layout>
      <c:doughnutChart>
        <c:varyColors val="1"/>
        <c:ser>
          <c:idx val="0"/>
          <c:order val="0"/>
          <c:dPt>
            <c:idx val="0"/>
            <c:bubble3D val="0"/>
            <c:spPr>
              <a:solidFill>
                <a:srgbClr val="159637"/>
              </a:solidFill>
              <a:ln w="19050">
                <a:solidFill>
                  <a:schemeClr val="lt1"/>
                </a:solidFill>
              </a:ln>
              <a:effectLst/>
            </c:spPr>
            <c:extLst>
              <c:ext xmlns:c16="http://schemas.microsoft.com/office/drawing/2014/chart" uri="{C3380CC4-5D6E-409C-BE32-E72D297353CC}">
                <c16:uniqueId val="{00000001-4102-4C44-B8F4-6C96A3820087}"/>
              </c:ext>
            </c:extLst>
          </c:dPt>
          <c:dPt>
            <c:idx val="1"/>
            <c:bubble3D val="0"/>
            <c:spPr>
              <a:solidFill>
                <a:srgbClr val="92D050"/>
              </a:solidFill>
              <a:ln w="19050">
                <a:solidFill>
                  <a:schemeClr val="lt1"/>
                </a:solidFill>
              </a:ln>
              <a:effectLst/>
            </c:spPr>
            <c:extLst>
              <c:ext xmlns:c16="http://schemas.microsoft.com/office/drawing/2014/chart" uri="{C3380CC4-5D6E-409C-BE32-E72D297353CC}">
                <c16:uniqueId val="{00000003-4102-4C44-B8F4-6C96A3820087}"/>
              </c:ext>
            </c:extLst>
          </c:dPt>
          <c:dPt>
            <c:idx val="2"/>
            <c:bubble3D val="0"/>
            <c:spPr>
              <a:solidFill>
                <a:srgbClr val="FFC000"/>
              </a:solidFill>
              <a:ln w="19050">
                <a:solidFill>
                  <a:schemeClr val="lt1"/>
                </a:solidFill>
              </a:ln>
              <a:effectLst/>
            </c:spPr>
            <c:extLst>
              <c:ext xmlns:c16="http://schemas.microsoft.com/office/drawing/2014/chart" uri="{C3380CC4-5D6E-409C-BE32-E72D297353CC}">
                <c16:uniqueId val="{00000005-4102-4C44-B8F4-6C96A3820087}"/>
              </c:ext>
            </c:extLst>
          </c:dPt>
          <c:dPt>
            <c:idx val="3"/>
            <c:bubble3D val="0"/>
            <c:spPr>
              <a:solidFill>
                <a:srgbClr val="FF0000"/>
              </a:solidFill>
              <a:ln w="19050">
                <a:solidFill>
                  <a:schemeClr val="lt1"/>
                </a:solidFill>
              </a:ln>
              <a:effectLst/>
            </c:spPr>
            <c:extLst>
              <c:ext xmlns:c16="http://schemas.microsoft.com/office/drawing/2014/chart" uri="{C3380CC4-5D6E-409C-BE32-E72D297353CC}">
                <c16:uniqueId val="{00000007-4102-4C44-B8F4-6C96A3820087}"/>
              </c:ext>
            </c:extLst>
          </c:dPt>
          <c:dPt>
            <c:idx val="4"/>
            <c:bubble3D val="0"/>
            <c:spPr>
              <a:solidFill>
                <a:srgbClr val="FCEFE0"/>
              </a:solidFill>
              <a:ln w="19050">
                <a:solidFill>
                  <a:schemeClr val="lt1"/>
                </a:solidFill>
              </a:ln>
              <a:effectLst/>
            </c:spPr>
            <c:extLst>
              <c:ext xmlns:c16="http://schemas.microsoft.com/office/drawing/2014/chart" uri="{C3380CC4-5D6E-409C-BE32-E72D297353CC}">
                <c16:uniqueId val="{00000009-4102-4C44-B8F4-6C96A3820087}"/>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fi-FI"/>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val>
            <c:numRef>
              <c:f>'R7'!$AB$39:$AB$43</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A-4102-4C44-B8F4-6C96A3820087}"/>
            </c:ext>
          </c:extLst>
        </c:ser>
        <c:dLbls>
          <c:showLegendKey val="0"/>
          <c:showVal val="0"/>
          <c:showCatName val="0"/>
          <c:showSerName val="0"/>
          <c:showPercent val="0"/>
          <c:showBubbleSize val="0"/>
          <c:showLeaderLines val="1"/>
        </c:dLbls>
        <c:firstSliceAng val="0"/>
        <c:holeSize val="40"/>
      </c:doughnutChart>
    </c:plotArea>
    <c:plotVisOnly val="1"/>
    <c:dispBlanksAs val="gap"/>
    <c:showDLblsOverMax val="0"/>
  </c:chart>
  <c:spPr>
    <a:solidFill>
      <a:schemeClr val="bg1"/>
    </a:solidFill>
    <a:ln w="9525" cap="flat" cmpd="sng" algn="ctr">
      <a:noFill/>
      <a:round/>
    </a:ln>
    <a:effectLst/>
  </c:spPr>
  <c:txPr>
    <a:bodyPr/>
    <a:lstStyle/>
    <a:p>
      <a:pPr>
        <a:defRPr/>
      </a:pPr>
      <a:endParaRPr lang="fi-F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i-FI" b="1">
                <a:solidFill>
                  <a:schemeClr val="bg2"/>
                </a:solidFill>
              </a:rPr>
              <a:t>Osion</a:t>
            </a:r>
            <a:r>
              <a:rPr lang="fi-FI" b="1" baseline="0">
                <a:solidFill>
                  <a:schemeClr val="bg2"/>
                </a:solidFill>
              </a:rPr>
              <a:t> käytäntöjen toteutuminen kypsyystasoittain (%)</a:t>
            </a:r>
            <a:endParaRPr lang="fi-FI" b="1">
              <a:solidFill>
                <a:schemeClr val="bg2"/>
              </a:solidFill>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i-FI"/>
        </a:p>
      </c:txPr>
    </c:title>
    <c:autoTitleDeleted val="0"/>
    <c:plotArea>
      <c:layout/>
      <c:radarChart>
        <c:radarStyle val="marker"/>
        <c:varyColors val="0"/>
        <c:ser>
          <c:idx val="0"/>
          <c:order val="0"/>
          <c:tx>
            <c:strRef>
              <c:f>Data!$S$32</c:f>
              <c:strCache>
                <c:ptCount val="1"/>
                <c:pt idx="0">
                  <c:v>1</c:v>
                </c:pt>
              </c:strCache>
            </c:strRef>
          </c:tx>
          <c:spPr>
            <a:ln w="28575" cap="rnd">
              <a:solidFill>
                <a:schemeClr val="accent1"/>
              </a:solidFill>
              <a:round/>
            </a:ln>
            <a:effectLst/>
          </c:spPr>
          <c:marker>
            <c:symbol val="none"/>
          </c:marker>
          <c:cat>
            <c:multiLvlStrRef>
              <c:f>Data!$Q$33:$R$43</c:f>
              <c:multiLvlStrCache>
                <c:ptCount val="11"/>
                <c:lvl>
                  <c:pt idx="0">
                    <c:v>Kriittiset
palvelut</c:v>
                  </c:pt>
                  <c:pt idx="1">
                    <c:v>Omaisuuden
hallinta</c:v>
                  </c:pt>
                  <c:pt idx="2">
                    <c:v>Uhkat ja
haavoittuvuudet</c:v>
                  </c:pt>
                  <c:pt idx="3">
                    <c:v>Riskien
hallinta</c:v>
                  </c:pt>
                  <c:pt idx="4">
                    <c:v>Pääsyn
hallinta</c:v>
                  </c:pt>
                  <c:pt idx="5">
                    <c:v>Tilanne
kuva</c:v>
                  </c:pt>
                  <c:pt idx="6">
                    <c:v>Tapahtumat
ja häiriöt</c:v>
                  </c:pt>
                  <c:pt idx="7">
                    <c:v>Kolmannet
osapuolet</c:v>
                  </c:pt>
                  <c:pt idx="8">
                    <c:v>Henkilöstön
hallinta</c:v>
                  </c:pt>
                  <c:pt idx="9">
                    <c:v>Kyber
arkkitehtuuri</c:v>
                  </c:pt>
                  <c:pt idx="10">
                    <c:v>Kyberturv.
hallinta</c:v>
                  </c:pt>
                </c:lvl>
                <c:lvl>
                  <c:pt idx="0">
                    <c:v>CRITICAL</c:v>
                  </c:pt>
                  <c:pt idx="1">
                    <c:v>ASSET</c:v>
                  </c:pt>
                  <c:pt idx="2">
                    <c:v>THREAT</c:v>
                  </c:pt>
                  <c:pt idx="3">
                    <c:v>RISK</c:v>
                  </c:pt>
                  <c:pt idx="4">
                    <c:v>ACCESS</c:v>
                  </c:pt>
                  <c:pt idx="5">
                    <c:v>SITUATION</c:v>
                  </c:pt>
                  <c:pt idx="6">
                    <c:v>RESPONSE</c:v>
                  </c:pt>
                  <c:pt idx="7">
                    <c:v>THIRDPARTY</c:v>
                  </c:pt>
                  <c:pt idx="8">
                    <c:v>WORKFORCE</c:v>
                  </c:pt>
                  <c:pt idx="9">
                    <c:v>ARCHITECTURE</c:v>
                  </c:pt>
                  <c:pt idx="10">
                    <c:v>PROGRAM</c:v>
                  </c:pt>
                </c:lvl>
              </c:multiLvlStrCache>
            </c:multiLvlStrRef>
          </c:cat>
          <c:val>
            <c:numRef>
              <c:f>Data!$S$33:$S$43</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0-EA2B-4EBE-9688-10A2E9A245F6}"/>
            </c:ext>
          </c:extLst>
        </c:ser>
        <c:ser>
          <c:idx val="1"/>
          <c:order val="1"/>
          <c:tx>
            <c:strRef>
              <c:f>Data!$T$32</c:f>
              <c:strCache>
                <c:ptCount val="1"/>
                <c:pt idx="0">
                  <c:v>2</c:v>
                </c:pt>
              </c:strCache>
            </c:strRef>
          </c:tx>
          <c:spPr>
            <a:ln w="28575" cap="rnd">
              <a:solidFill>
                <a:schemeClr val="accent2"/>
              </a:solidFill>
              <a:round/>
            </a:ln>
            <a:effectLst/>
          </c:spPr>
          <c:marker>
            <c:symbol val="none"/>
          </c:marker>
          <c:cat>
            <c:multiLvlStrRef>
              <c:f>Data!$Q$33:$R$43</c:f>
              <c:multiLvlStrCache>
                <c:ptCount val="11"/>
                <c:lvl>
                  <c:pt idx="0">
                    <c:v>Kriittiset
palvelut</c:v>
                  </c:pt>
                  <c:pt idx="1">
                    <c:v>Omaisuuden
hallinta</c:v>
                  </c:pt>
                  <c:pt idx="2">
                    <c:v>Uhkat ja
haavoittuvuudet</c:v>
                  </c:pt>
                  <c:pt idx="3">
                    <c:v>Riskien
hallinta</c:v>
                  </c:pt>
                  <c:pt idx="4">
                    <c:v>Pääsyn
hallinta</c:v>
                  </c:pt>
                  <c:pt idx="5">
                    <c:v>Tilanne
kuva</c:v>
                  </c:pt>
                  <c:pt idx="6">
                    <c:v>Tapahtumat
ja häiriöt</c:v>
                  </c:pt>
                  <c:pt idx="7">
                    <c:v>Kolmannet
osapuolet</c:v>
                  </c:pt>
                  <c:pt idx="8">
                    <c:v>Henkilöstön
hallinta</c:v>
                  </c:pt>
                  <c:pt idx="9">
                    <c:v>Kyber
arkkitehtuuri</c:v>
                  </c:pt>
                  <c:pt idx="10">
                    <c:v>Kyberturv.
hallinta</c:v>
                  </c:pt>
                </c:lvl>
                <c:lvl>
                  <c:pt idx="0">
                    <c:v>CRITICAL</c:v>
                  </c:pt>
                  <c:pt idx="1">
                    <c:v>ASSET</c:v>
                  </c:pt>
                  <c:pt idx="2">
                    <c:v>THREAT</c:v>
                  </c:pt>
                  <c:pt idx="3">
                    <c:v>RISK</c:v>
                  </c:pt>
                  <c:pt idx="4">
                    <c:v>ACCESS</c:v>
                  </c:pt>
                  <c:pt idx="5">
                    <c:v>SITUATION</c:v>
                  </c:pt>
                  <c:pt idx="6">
                    <c:v>RESPONSE</c:v>
                  </c:pt>
                  <c:pt idx="7">
                    <c:v>THIRDPARTY</c:v>
                  </c:pt>
                  <c:pt idx="8">
                    <c:v>WORKFORCE</c:v>
                  </c:pt>
                  <c:pt idx="9">
                    <c:v>ARCHITECTURE</c:v>
                  </c:pt>
                  <c:pt idx="10">
                    <c:v>PROGRAM</c:v>
                  </c:pt>
                </c:lvl>
              </c:multiLvlStrCache>
            </c:multiLvlStrRef>
          </c:cat>
          <c:val>
            <c:numRef>
              <c:f>Data!$T$33:$T$43</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1-EA2B-4EBE-9688-10A2E9A245F6}"/>
            </c:ext>
          </c:extLst>
        </c:ser>
        <c:ser>
          <c:idx val="2"/>
          <c:order val="2"/>
          <c:tx>
            <c:strRef>
              <c:f>Data!$U$32</c:f>
              <c:strCache>
                <c:ptCount val="1"/>
                <c:pt idx="0">
                  <c:v>3</c:v>
                </c:pt>
              </c:strCache>
            </c:strRef>
          </c:tx>
          <c:spPr>
            <a:ln w="28575" cap="rnd">
              <a:solidFill>
                <a:schemeClr val="accent3"/>
              </a:solidFill>
              <a:round/>
            </a:ln>
            <a:effectLst/>
          </c:spPr>
          <c:marker>
            <c:symbol val="none"/>
          </c:marker>
          <c:cat>
            <c:multiLvlStrRef>
              <c:f>Data!$Q$33:$R$43</c:f>
              <c:multiLvlStrCache>
                <c:ptCount val="11"/>
                <c:lvl>
                  <c:pt idx="0">
                    <c:v>Kriittiset
palvelut</c:v>
                  </c:pt>
                  <c:pt idx="1">
                    <c:v>Omaisuuden
hallinta</c:v>
                  </c:pt>
                  <c:pt idx="2">
                    <c:v>Uhkat ja
haavoittuvuudet</c:v>
                  </c:pt>
                  <c:pt idx="3">
                    <c:v>Riskien
hallinta</c:v>
                  </c:pt>
                  <c:pt idx="4">
                    <c:v>Pääsyn
hallinta</c:v>
                  </c:pt>
                  <c:pt idx="5">
                    <c:v>Tilanne
kuva</c:v>
                  </c:pt>
                  <c:pt idx="6">
                    <c:v>Tapahtumat
ja häiriöt</c:v>
                  </c:pt>
                  <c:pt idx="7">
                    <c:v>Kolmannet
osapuolet</c:v>
                  </c:pt>
                  <c:pt idx="8">
                    <c:v>Henkilöstön
hallinta</c:v>
                  </c:pt>
                  <c:pt idx="9">
                    <c:v>Kyber
arkkitehtuuri</c:v>
                  </c:pt>
                  <c:pt idx="10">
                    <c:v>Kyberturv.
hallinta</c:v>
                  </c:pt>
                </c:lvl>
                <c:lvl>
                  <c:pt idx="0">
                    <c:v>CRITICAL</c:v>
                  </c:pt>
                  <c:pt idx="1">
                    <c:v>ASSET</c:v>
                  </c:pt>
                  <c:pt idx="2">
                    <c:v>THREAT</c:v>
                  </c:pt>
                  <c:pt idx="3">
                    <c:v>RISK</c:v>
                  </c:pt>
                  <c:pt idx="4">
                    <c:v>ACCESS</c:v>
                  </c:pt>
                  <c:pt idx="5">
                    <c:v>SITUATION</c:v>
                  </c:pt>
                  <c:pt idx="6">
                    <c:v>RESPONSE</c:v>
                  </c:pt>
                  <c:pt idx="7">
                    <c:v>THIRDPARTY</c:v>
                  </c:pt>
                  <c:pt idx="8">
                    <c:v>WORKFORCE</c:v>
                  </c:pt>
                  <c:pt idx="9">
                    <c:v>ARCHITECTURE</c:v>
                  </c:pt>
                  <c:pt idx="10">
                    <c:v>PROGRAM</c:v>
                  </c:pt>
                </c:lvl>
              </c:multiLvlStrCache>
            </c:multiLvlStrRef>
          </c:cat>
          <c:val>
            <c:numRef>
              <c:f>Data!$U$33:$U$43</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2-EA2B-4EBE-9688-10A2E9A245F6}"/>
            </c:ext>
          </c:extLst>
        </c:ser>
        <c:dLbls>
          <c:showLegendKey val="0"/>
          <c:showVal val="0"/>
          <c:showCatName val="0"/>
          <c:showSerName val="0"/>
          <c:showPercent val="0"/>
          <c:showBubbleSize val="0"/>
        </c:dLbls>
        <c:axId val="949963520"/>
        <c:axId val="949963848"/>
      </c:radarChart>
      <c:catAx>
        <c:axId val="94996352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bg2"/>
                </a:solidFill>
                <a:latin typeface="+mn-lt"/>
                <a:ea typeface="+mn-ea"/>
                <a:cs typeface="+mn-cs"/>
              </a:defRPr>
            </a:pPr>
            <a:endParaRPr lang="fi-FI"/>
          </a:p>
        </c:txPr>
        <c:crossAx val="949963848"/>
        <c:crosses val="autoZero"/>
        <c:auto val="1"/>
        <c:lblAlgn val="ctr"/>
        <c:lblOffset val="100"/>
        <c:noMultiLvlLbl val="0"/>
      </c:catAx>
      <c:valAx>
        <c:axId val="949963848"/>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crossAx val="94996352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i-F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'R7'!$V$26</c:f>
          <c:strCache>
            <c:ptCount val="1"/>
            <c:pt idx="0">
              <c:v>8</c:v>
            </c:pt>
          </c:strCache>
        </c:strRef>
      </c:tx>
      <c:layout>
        <c:manualLayout>
          <c:xMode val="edge"/>
          <c:yMode val="edge"/>
          <c:x val="0.4553388888888889"/>
          <c:y val="0.42495347222222224"/>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fi-FI"/>
        </a:p>
      </c:txPr>
    </c:title>
    <c:autoTitleDeleted val="0"/>
    <c:plotArea>
      <c:layout>
        <c:manualLayout>
          <c:layoutTarget val="inner"/>
          <c:xMode val="edge"/>
          <c:yMode val="edge"/>
          <c:x val="5.1423611111111114E-2"/>
          <c:y val="4.0890972222222224E-2"/>
          <c:w val="0.94501033628999298"/>
          <c:h val="0.96979218540657131"/>
        </c:manualLayout>
      </c:layout>
      <c:doughnutChart>
        <c:varyColors val="1"/>
        <c:dLbls>
          <c:showLegendKey val="0"/>
          <c:showVal val="0"/>
          <c:showCatName val="0"/>
          <c:showSerName val="0"/>
          <c:showPercent val="0"/>
          <c:showBubbleSize val="0"/>
          <c:showLeaderLines val="0"/>
        </c:dLbls>
        <c:firstSliceAng val="0"/>
        <c:holeSize val="40"/>
      </c:doughnut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fi-F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'R7'!$W$26</c:f>
          <c:strCache>
            <c:ptCount val="1"/>
            <c:pt idx="0">
              <c:v>14</c:v>
            </c:pt>
          </c:strCache>
        </c:strRef>
      </c:tx>
      <c:layout>
        <c:manualLayout>
          <c:xMode val="edge"/>
          <c:yMode val="edge"/>
          <c:x val="0.4553388888888889"/>
          <c:y val="0.42495347222222224"/>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fi-FI"/>
        </a:p>
      </c:txPr>
    </c:title>
    <c:autoTitleDeleted val="0"/>
    <c:plotArea>
      <c:layout>
        <c:manualLayout>
          <c:layoutTarget val="inner"/>
          <c:xMode val="edge"/>
          <c:yMode val="edge"/>
          <c:x val="5.1423611111111114E-2"/>
          <c:y val="4.0890972222222224E-2"/>
          <c:w val="0.94501033628999298"/>
          <c:h val="0.96979218540657131"/>
        </c:manualLayout>
      </c:layout>
      <c:doughnutChart>
        <c:varyColors val="1"/>
        <c:dLbls>
          <c:showLegendKey val="0"/>
          <c:showVal val="0"/>
          <c:showCatName val="0"/>
          <c:showSerName val="0"/>
          <c:showPercent val="0"/>
          <c:showBubbleSize val="0"/>
          <c:showLeaderLines val="0"/>
        </c:dLbls>
        <c:firstSliceAng val="0"/>
        <c:holeSize val="40"/>
      </c:doughnut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fi-F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'R7'!$R$26</c:f>
          <c:strCache>
            <c:ptCount val="1"/>
            <c:pt idx="0">
              <c:v>5</c:v>
            </c:pt>
          </c:strCache>
        </c:strRef>
      </c:tx>
      <c:layout>
        <c:manualLayout>
          <c:xMode val="edge"/>
          <c:yMode val="edge"/>
          <c:x val="0.40932889514267373"/>
          <c:y val="0.42495347222222224"/>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fi-FI"/>
        </a:p>
      </c:txPr>
    </c:title>
    <c:autoTitleDeleted val="0"/>
    <c:plotArea>
      <c:layout>
        <c:manualLayout>
          <c:layoutTarget val="inner"/>
          <c:xMode val="edge"/>
          <c:yMode val="edge"/>
          <c:x val="2.3817839033954478E-2"/>
          <c:y val="5.3420138888888899E-2"/>
          <c:w val="0.94501033628999298"/>
          <c:h val="0.96979218540657131"/>
        </c:manualLayout>
      </c:layout>
      <c:doughnutChart>
        <c:varyColors val="1"/>
        <c:ser>
          <c:idx val="0"/>
          <c:order val="0"/>
          <c:dPt>
            <c:idx val="0"/>
            <c:bubble3D val="0"/>
            <c:spPr>
              <a:solidFill>
                <a:srgbClr val="159637"/>
              </a:solidFill>
              <a:ln w="19050">
                <a:solidFill>
                  <a:schemeClr val="lt1"/>
                </a:solidFill>
              </a:ln>
              <a:effectLst/>
            </c:spPr>
            <c:extLst>
              <c:ext xmlns:c16="http://schemas.microsoft.com/office/drawing/2014/chart" uri="{C3380CC4-5D6E-409C-BE32-E72D297353CC}">
                <c16:uniqueId val="{00000001-7FC5-431B-9D57-A22A0AF469C6}"/>
              </c:ext>
            </c:extLst>
          </c:dPt>
          <c:dPt>
            <c:idx val="1"/>
            <c:bubble3D val="0"/>
            <c:spPr>
              <a:solidFill>
                <a:srgbClr val="92D050"/>
              </a:solidFill>
              <a:ln w="19050">
                <a:solidFill>
                  <a:schemeClr val="lt1"/>
                </a:solidFill>
              </a:ln>
              <a:effectLst/>
            </c:spPr>
            <c:extLst>
              <c:ext xmlns:c16="http://schemas.microsoft.com/office/drawing/2014/chart" uri="{C3380CC4-5D6E-409C-BE32-E72D297353CC}">
                <c16:uniqueId val="{00000003-7FC5-431B-9D57-A22A0AF469C6}"/>
              </c:ext>
            </c:extLst>
          </c:dPt>
          <c:dPt>
            <c:idx val="2"/>
            <c:bubble3D val="0"/>
            <c:spPr>
              <a:solidFill>
                <a:srgbClr val="FFC000"/>
              </a:solidFill>
              <a:ln w="19050">
                <a:solidFill>
                  <a:schemeClr val="lt1"/>
                </a:solidFill>
              </a:ln>
              <a:effectLst/>
            </c:spPr>
            <c:extLst>
              <c:ext xmlns:c16="http://schemas.microsoft.com/office/drawing/2014/chart" uri="{C3380CC4-5D6E-409C-BE32-E72D297353CC}">
                <c16:uniqueId val="{00000005-7FC5-431B-9D57-A22A0AF469C6}"/>
              </c:ext>
            </c:extLst>
          </c:dPt>
          <c:dPt>
            <c:idx val="3"/>
            <c:bubble3D val="0"/>
            <c:spPr>
              <a:solidFill>
                <a:srgbClr val="FF0000"/>
              </a:solidFill>
              <a:ln w="19050">
                <a:solidFill>
                  <a:schemeClr val="lt1"/>
                </a:solidFill>
              </a:ln>
              <a:effectLst/>
            </c:spPr>
            <c:extLst>
              <c:ext xmlns:c16="http://schemas.microsoft.com/office/drawing/2014/chart" uri="{C3380CC4-5D6E-409C-BE32-E72D297353CC}">
                <c16:uniqueId val="{00000007-7FC5-431B-9D57-A22A0AF469C6}"/>
              </c:ext>
            </c:extLst>
          </c:dPt>
          <c:dPt>
            <c:idx val="4"/>
            <c:bubble3D val="0"/>
            <c:spPr>
              <a:solidFill>
                <a:srgbClr val="FCEFE0"/>
              </a:solidFill>
              <a:ln w="19050">
                <a:solidFill>
                  <a:schemeClr val="lt1"/>
                </a:solidFill>
              </a:ln>
              <a:effectLst/>
            </c:spPr>
            <c:extLst>
              <c:ext xmlns:c16="http://schemas.microsoft.com/office/drawing/2014/chart" uri="{C3380CC4-5D6E-409C-BE32-E72D297353CC}">
                <c16:uniqueId val="{00000009-7FC5-431B-9D57-A22A0AF469C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fi-FI"/>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val>
            <c:numRef>
              <c:f>'R7'!$R$27:$R$31</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A-7FC5-431B-9D57-A22A0AF469C6}"/>
            </c:ext>
          </c:extLst>
        </c:ser>
        <c:dLbls>
          <c:showLegendKey val="0"/>
          <c:showVal val="0"/>
          <c:showCatName val="0"/>
          <c:showSerName val="0"/>
          <c:showPercent val="0"/>
          <c:showBubbleSize val="0"/>
          <c:showLeaderLines val="1"/>
        </c:dLbls>
        <c:firstSliceAng val="0"/>
        <c:holeSize val="40"/>
      </c:doughnut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fi-FI"/>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'R7'!$S$38</c:f>
          <c:strCache>
            <c:ptCount val="1"/>
            <c:pt idx="0">
              <c:v>5</c:v>
            </c:pt>
          </c:strCache>
        </c:strRef>
      </c:tx>
      <c:layout>
        <c:manualLayout>
          <c:xMode val="edge"/>
          <c:yMode val="edge"/>
          <c:x val="0.4553388888888889"/>
          <c:y val="0.42495347222222224"/>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fi-FI"/>
        </a:p>
      </c:txPr>
    </c:title>
    <c:autoTitleDeleted val="0"/>
    <c:plotArea>
      <c:layout>
        <c:manualLayout>
          <c:layoutTarget val="inner"/>
          <c:xMode val="edge"/>
          <c:yMode val="edge"/>
          <c:x val="5.1423611111111114E-2"/>
          <c:y val="4.0890972222222224E-2"/>
          <c:w val="0.94501033628999298"/>
          <c:h val="0.96979218540657131"/>
        </c:manualLayout>
      </c:layout>
      <c:doughnutChart>
        <c:varyColors val="1"/>
        <c:ser>
          <c:idx val="0"/>
          <c:order val="0"/>
          <c:dPt>
            <c:idx val="0"/>
            <c:bubble3D val="0"/>
            <c:spPr>
              <a:solidFill>
                <a:srgbClr val="159637"/>
              </a:solidFill>
              <a:ln w="19050">
                <a:solidFill>
                  <a:schemeClr val="lt1"/>
                </a:solidFill>
              </a:ln>
              <a:effectLst/>
            </c:spPr>
            <c:extLst>
              <c:ext xmlns:c16="http://schemas.microsoft.com/office/drawing/2014/chart" uri="{C3380CC4-5D6E-409C-BE32-E72D297353CC}">
                <c16:uniqueId val="{00000001-98AA-4DE6-B737-055536C4D7F9}"/>
              </c:ext>
            </c:extLst>
          </c:dPt>
          <c:dPt>
            <c:idx val="1"/>
            <c:bubble3D val="0"/>
            <c:spPr>
              <a:solidFill>
                <a:srgbClr val="92D050"/>
              </a:solidFill>
              <a:ln w="19050">
                <a:solidFill>
                  <a:schemeClr val="lt1"/>
                </a:solidFill>
              </a:ln>
              <a:effectLst/>
            </c:spPr>
            <c:extLst>
              <c:ext xmlns:c16="http://schemas.microsoft.com/office/drawing/2014/chart" uri="{C3380CC4-5D6E-409C-BE32-E72D297353CC}">
                <c16:uniqueId val="{00000003-98AA-4DE6-B737-055536C4D7F9}"/>
              </c:ext>
            </c:extLst>
          </c:dPt>
          <c:dPt>
            <c:idx val="2"/>
            <c:bubble3D val="0"/>
            <c:spPr>
              <a:solidFill>
                <a:srgbClr val="FFC000"/>
              </a:solidFill>
              <a:ln w="19050">
                <a:solidFill>
                  <a:schemeClr val="lt1"/>
                </a:solidFill>
              </a:ln>
              <a:effectLst/>
            </c:spPr>
            <c:extLst>
              <c:ext xmlns:c16="http://schemas.microsoft.com/office/drawing/2014/chart" uri="{C3380CC4-5D6E-409C-BE32-E72D297353CC}">
                <c16:uniqueId val="{00000005-98AA-4DE6-B737-055536C4D7F9}"/>
              </c:ext>
            </c:extLst>
          </c:dPt>
          <c:dPt>
            <c:idx val="3"/>
            <c:bubble3D val="0"/>
            <c:spPr>
              <a:solidFill>
                <a:srgbClr val="FF0000"/>
              </a:solidFill>
              <a:ln w="19050">
                <a:solidFill>
                  <a:schemeClr val="lt1"/>
                </a:solidFill>
              </a:ln>
              <a:effectLst/>
            </c:spPr>
            <c:extLst>
              <c:ext xmlns:c16="http://schemas.microsoft.com/office/drawing/2014/chart" uri="{C3380CC4-5D6E-409C-BE32-E72D297353CC}">
                <c16:uniqueId val="{00000007-98AA-4DE6-B737-055536C4D7F9}"/>
              </c:ext>
            </c:extLst>
          </c:dPt>
          <c:dPt>
            <c:idx val="4"/>
            <c:bubble3D val="0"/>
            <c:spPr>
              <a:solidFill>
                <a:srgbClr val="FCEFE0"/>
              </a:solidFill>
              <a:ln w="19050">
                <a:solidFill>
                  <a:schemeClr val="lt1"/>
                </a:solidFill>
              </a:ln>
              <a:effectLst/>
            </c:spPr>
            <c:extLst>
              <c:ext xmlns:c16="http://schemas.microsoft.com/office/drawing/2014/chart" uri="{C3380CC4-5D6E-409C-BE32-E72D297353CC}">
                <c16:uniqueId val="{00000009-98AA-4DE6-B737-055536C4D7F9}"/>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fi-FI"/>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val>
            <c:numRef>
              <c:f>'R7'!$S$39:$S$43</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A-98AA-4DE6-B737-055536C4D7F9}"/>
            </c:ext>
          </c:extLst>
        </c:ser>
        <c:dLbls>
          <c:showLegendKey val="0"/>
          <c:showVal val="0"/>
          <c:showCatName val="0"/>
          <c:showSerName val="0"/>
          <c:showPercent val="0"/>
          <c:showBubbleSize val="0"/>
          <c:showLeaderLines val="1"/>
        </c:dLbls>
        <c:firstSliceAng val="0"/>
        <c:holeSize val="40"/>
      </c:doughnut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fi-FI"/>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'R7'!$T$38</c:f>
          <c:strCache>
            <c:ptCount val="1"/>
            <c:pt idx="0">
              <c:v>7</c:v>
            </c:pt>
          </c:strCache>
        </c:strRef>
      </c:tx>
      <c:layout>
        <c:manualLayout>
          <c:xMode val="edge"/>
          <c:yMode val="edge"/>
          <c:x val="0.4553388888888889"/>
          <c:y val="0.42495347222222224"/>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fi-FI"/>
        </a:p>
      </c:txPr>
    </c:title>
    <c:autoTitleDeleted val="0"/>
    <c:plotArea>
      <c:layout>
        <c:manualLayout>
          <c:layoutTarget val="inner"/>
          <c:xMode val="edge"/>
          <c:yMode val="edge"/>
          <c:x val="5.1423611111111114E-2"/>
          <c:y val="4.0890972222222224E-2"/>
          <c:w val="0.94501033628999298"/>
          <c:h val="0.96979218540657131"/>
        </c:manualLayout>
      </c:layout>
      <c:doughnutChart>
        <c:varyColors val="1"/>
        <c:ser>
          <c:idx val="0"/>
          <c:order val="0"/>
          <c:dPt>
            <c:idx val="0"/>
            <c:bubble3D val="0"/>
            <c:spPr>
              <a:solidFill>
                <a:srgbClr val="159637"/>
              </a:solidFill>
              <a:ln w="19050">
                <a:solidFill>
                  <a:schemeClr val="lt1"/>
                </a:solidFill>
              </a:ln>
              <a:effectLst/>
            </c:spPr>
            <c:extLst>
              <c:ext xmlns:c16="http://schemas.microsoft.com/office/drawing/2014/chart" uri="{C3380CC4-5D6E-409C-BE32-E72D297353CC}">
                <c16:uniqueId val="{00000001-D332-4607-86FE-E91BF1AECCA6}"/>
              </c:ext>
            </c:extLst>
          </c:dPt>
          <c:dPt>
            <c:idx val="1"/>
            <c:bubble3D val="0"/>
            <c:spPr>
              <a:solidFill>
                <a:srgbClr val="92D050"/>
              </a:solidFill>
              <a:ln w="19050">
                <a:solidFill>
                  <a:schemeClr val="lt1"/>
                </a:solidFill>
              </a:ln>
              <a:effectLst/>
            </c:spPr>
            <c:extLst>
              <c:ext xmlns:c16="http://schemas.microsoft.com/office/drawing/2014/chart" uri="{C3380CC4-5D6E-409C-BE32-E72D297353CC}">
                <c16:uniqueId val="{00000003-D332-4607-86FE-E91BF1AECCA6}"/>
              </c:ext>
            </c:extLst>
          </c:dPt>
          <c:dPt>
            <c:idx val="2"/>
            <c:bubble3D val="0"/>
            <c:spPr>
              <a:solidFill>
                <a:srgbClr val="FFC000"/>
              </a:solidFill>
              <a:ln w="19050">
                <a:solidFill>
                  <a:schemeClr val="lt1"/>
                </a:solidFill>
              </a:ln>
              <a:effectLst/>
            </c:spPr>
            <c:extLst>
              <c:ext xmlns:c16="http://schemas.microsoft.com/office/drawing/2014/chart" uri="{C3380CC4-5D6E-409C-BE32-E72D297353CC}">
                <c16:uniqueId val="{00000005-D332-4607-86FE-E91BF1AECCA6}"/>
              </c:ext>
            </c:extLst>
          </c:dPt>
          <c:dPt>
            <c:idx val="3"/>
            <c:bubble3D val="0"/>
            <c:spPr>
              <a:solidFill>
                <a:srgbClr val="FF0000"/>
              </a:solidFill>
              <a:ln w="19050">
                <a:solidFill>
                  <a:schemeClr val="lt1"/>
                </a:solidFill>
              </a:ln>
              <a:effectLst/>
            </c:spPr>
            <c:extLst>
              <c:ext xmlns:c16="http://schemas.microsoft.com/office/drawing/2014/chart" uri="{C3380CC4-5D6E-409C-BE32-E72D297353CC}">
                <c16:uniqueId val="{00000007-D332-4607-86FE-E91BF1AECCA6}"/>
              </c:ext>
            </c:extLst>
          </c:dPt>
          <c:dPt>
            <c:idx val="4"/>
            <c:bubble3D val="0"/>
            <c:spPr>
              <a:solidFill>
                <a:srgbClr val="FCEFE0"/>
              </a:solidFill>
              <a:ln w="19050">
                <a:solidFill>
                  <a:schemeClr val="lt1"/>
                </a:solidFill>
              </a:ln>
              <a:effectLst/>
            </c:spPr>
            <c:extLst>
              <c:ext xmlns:c16="http://schemas.microsoft.com/office/drawing/2014/chart" uri="{C3380CC4-5D6E-409C-BE32-E72D297353CC}">
                <c16:uniqueId val="{00000009-D332-4607-86FE-E91BF1AECCA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fi-FI"/>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val>
            <c:numRef>
              <c:f>'R7'!$T$39:$T$43</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A-D332-4607-86FE-E91BF1AECCA6}"/>
            </c:ext>
          </c:extLst>
        </c:ser>
        <c:dLbls>
          <c:showLegendKey val="0"/>
          <c:showVal val="0"/>
          <c:showCatName val="0"/>
          <c:showSerName val="0"/>
          <c:showPercent val="0"/>
          <c:showBubbleSize val="0"/>
          <c:showLeaderLines val="1"/>
        </c:dLbls>
        <c:firstSliceAng val="0"/>
        <c:holeSize val="40"/>
      </c:doughnut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fi-FI"/>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2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1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19.xml.rels><?xml version="1.0" encoding="UTF-8" standalone="yes"?>
<Relationships xmlns="http://schemas.openxmlformats.org/package/2006/relationships"><Relationship Id="rId8" Type="http://schemas.openxmlformats.org/officeDocument/2006/relationships/chart" Target="../charts/chart12.xml"/><Relationship Id="rId13" Type="http://schemas.openxmlformats.org/officeDocument/2006/relationships/chart" Target="../charts/chart17.xml"/><Relationship Id="rId18" Type="http://schemas.openxmlformats.org/officeDocument/2006/relationships/chart" Target="../charts/chart22.xml"/><Relationship Id="rId26" Type="http://schemas.openxmlformats.org/officeDocument/2006/relationships/chart" Target="../charts/chart30.xml"/><Relationship Id="rId3" Type="http://schemas.openxmlformats.org/officeDocument/2006/relationships/chart" Target="../charts/chart7.xml"/><Relationship Id="rId21" Type="http://schemas.openxmlformats.org/officeDocument/2006/relationships/chart" Target="../charts/chart25.xml"/><Relationship Id="rId34" Type="http://schemas.openxmlformats.org/officeDocument/2006/relationships/chart" Target="../charts/chart38.xml"/><Relationship Id="rId7" Type="http://schemas.openxmlformats.org/officeDocument/2006/relationships/chart" Target="../charts/chart11.xml"/><Relationship Id="rId12" Type="http://schemas.openxmlformats.org/officeDocument/2006/relationships/chart" Target="../charts/chart16.xml"/><Relationship Id="rId17" Type="http://schemas.openxmlformats.org/officeDocument/2006/relationships/chart" Target="../charts/chart21.xml"/><Relationship Id="rId25" Type="http://schemas.openxmlformats.org/officeDocument/2006/relationships/chart" Target="../charts/chart29.xml"/><Relationship Id="rId33" Type="http://schemas.openxmlformats.org/officeDocument/2006/relationships/chart" Target="../charts/chart37.xml"/><Relationship Id="rId2" Type="http://schemas.openxmlformats.org/officeDocument/2006/relationships/chart" Target="../charts/chart6.xml"/><Relationship Id="rId16" Type="http://schemas.openxmlformats.org/officeDocument/2006/relationships/chart" Target="../charts/chart20.xml"/><Relationship Id="rId20" Type="http://schemas.openxmlformats.org/officeDocument/2006/relationships/chart" Target="../charts/chart24.xml"/><Relationship Id="rId29" Type="http://schemas.openxmlformats.org/officeDocument/2006/relationships/chart" Target="../charts/chart33.xml"/><Relationship Id="rId1" Type="http://schemas.openxmlformats.org/officeDocument/2006/relationships/chart" Target="../charts/chart5.xml"/><Relationship Id="rId6" Type="http://schemas.openxmlformats.org/officeDocument/2006/relationships/chart" Target="../charts/chart10.xml"/><Relationship Id="rId11" Type="http://schemas.openxmlformats.org/officeDocument/2006/relationships/chart" Target="../charts/chart15.xml"/><Relationship Id="rId24" Type="http://schemas.openxmlformats.org/officeDocument/2006/relationships/chart" Target="../charts/chart28.xml"/><Relationship Id="rId32" Type="http://schemas.openxmlformats.org/officeDocument/2006/relationships/chart" Target="../charts/chart36.xml"/><Relationship Id="rId5" Type="http://schemas.openxmlformats.org/officeDocument/2006/relationships/chart" Target="../charts/chart9.xml"/><Relationship Id="rId15" Type="http://schemas.openxmlformats.org/officeDocument/2006/relationships/chart" Target="../charts/chart19.xml"/><Relationship Id="rId23" Type="http://schemas.openxmlformats.org/officeDocument/2006/relationships/chart" Target="../charts/chart27.xml"/><Relationship Id="rId28" Type="http://schemas.openxmlformats.org/officeDocument/2006/relationships/chart" Target="../charts/chart32.xml"/><Relationship Id="rId10" Type="http://schemas.openxmlformats.org/officeDocument/2006/relationships/chart" Target="../charts/chart14.xml"/><Relationship Id="rId19" Type="http://schemas.openxmlformats.org/officeDocument/2006/relationships/chart" Target="../charts/chart23.xml"/><Relationship Id="rId31" Type="http://schemas.openxmlformats.org/officeDocument/2006/relationships/chart" Target="../charts/chart35.xml"/><Relationship Id="rId4" Type="http://schemas.openxmlformats.org/officeDocument/2006/relationships/chart" Target="../charts/chart8.xml"/><Relationship Id="rId9" Type="http://schemas.openxmlformats.org/officeDocument/2006/relationships/chart" Target="../charts/chart13.xml"/><Relationship Id="rId14" Type="http://schemas.openxmlformats.org/officeDocument/2006/relationships/chart" Target="../charts/chart18.xml"/><Relationship Id="rId22" Type="http://schemas.openxmlformats.org/officeDocument/2006/relationships/chart" Target="../charts/chart26.xml"/><Relationship Id="rId27" Type="http://schemas.openxmlformats.org/officeDocument/2006/relationships/chart" Target="../charts/chart31.xml"/><Relationship Id="rId30" Type="http://schemas.openxmlformats.org/officeDocument/2006/relationships/chart" Target="../charts/chart34.xml"/><Relationship Id="rId35" Type="http://schemas.openxmlformats.org/officeDocument/2006/relationships/chart" Target="../charts/chart39.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1667119</xdr:colOff>
      <xdr:row>2</xdr:row>
      <xdr:rowOff>87092</xdr:rowOff>
    </xdr:from>
    <xdr:to>
      <xdr:col>9</xdr:col>
      <xdr:colOff>550427</xdr:colOff>
      <xdr:row>4</xdr:row>
      <xdr:rowOff>72570</xdr:rowOff>
    </xdr:to>
    <xdr:pic>
      <xdr:nvPicPr>
        <xdr:cNvPr id="2" name="Picture 1"/>
        <xdr:cNvPicPr>
          <a:picLocks noChangeAspect="1"/>
        </xdr:cNvPicPr>
      </xdr:nvPicPr>
      <xdr:blipFill>
        <a:blip xmlns:r="http://schemas.openxmlformats.org/officeDocument/2006/relationships" r:embed="rId1"/>
        <a:stretch>
          <a:fillRect/>
        </a:stretch>
      </xdr:blipFill>
      <xdr:spPr>
        <a:xfrm>
          <a:off x="8443476" y="359235"/>
          <a:ext cx="1604737" cy="46626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9</xdr:col>
      <xdr:colOff>1034868</xdr:colOff>
      <xdr:row>1</xdr:row>
      <xdr:rowOff>154214</xdr:rowOff>
    </xdr:from>
    <xdr:ext cx="1599625" cy="476840"/>
    <xdr:pic>
      <xdr:nvPicPr>
        <xdr:cNvPr id="2" name="Picture 1"/>
        <xdr:cNvPicPr>
          <a:picLocks noChangeAspect="1"/>
        </xdr:cNvPicPr>
      </xdr:nvPicPr>
      <xdr:blipFill>
        <a:blip xmlns:r="http://schemas.openxmlformats.org/officeDocument/2006/relationships" r:embed="rId1"/>
        <a:stretch>
          <a:fillRect/>
        </a:stretch>
      </xdr:blipFill>
      <xdr:spPr>
        <a:xfrm>
          <a:off x="12160068" y="298994"/>
          <a:ext cx="1599625" cy="476840"/>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9</xdr:col>
      <xdr:colOff>1037940</xdr:colOff>
      <xdr:row>1</xdr:row>
      <xdr:rowOff>147247</xdr:rowOff>
    </xdr:from>
    <xdr:ext cx="1599625" cy="476840"/>
    <xdr:pic>
      <xdr:nvPicPr>
        <xdr:cNvPr id="2" name="Picture 1"/>
        <xdr:cNvPicPr>
          <a:picLocks noChangeAspect="1"/>
        </xdr:cNvPicPr>
      </xdr:nvPicPr>
      <xdr:blipFill>
        <a:blip xmlns:r="http://schemas.openxmlformats.org/officeDocument/2006/relationships" r:embed="rId1"/>
        <a:stretch>
          <a:fillRect/>
        </a:stretch>
      </xdr:blipFill>
      <xdr:spPr>
        <a:xfrm>
          <a:off x="12163140" y="292027"/>
          <a:ext cx="1599625" cy="476840"/>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oneCellAnchor>
    <xdr:from>
      <xdr:col>9</xdr:col>
      <xdr:colOff>1002607</xdr:colOff>
      <xdr:row>1</xdr:row>
      <xdr:rowOff>184727</xdr:rowOff>
    </xdr:from>
    <xdr:ext cx="1599625" cy="476840"/>
    <xdr:pic>
      <xdr:nvPicPr>
        <xdr:cNvPr id="2" name="Picture 1"/>
        <xdr:cNvPicPr>
          <a:picLocks noChangeAspect="1"/>
        </xdr:cNvPicPr>
      </xdr:nvPicPr>
      <xdr:blipFill>
        <a:blip xmlns:r="http://schemas.openxmlformats.org/officeDocument/2006/relationships" r:embed="rId1"/>
        <a:stretch>
          <a:fillRect/>
        </a:stretch>
      </xdr:blipFill>
      <xdr:spPr>
        <a:xfrm>
          <a:off x="12127807" y="329507"/>
          <a:ext cx="1599625" cy="476840"/>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twoCellAnchor editAs="oneCell">
    <xdr:from>
      <xdr:col>10</xdr:col>
      <xdr:colOff>664882</xdr:colOff>
      <xdr:row>1</xdr:row>
      <xdr:rowOff>119529</xdr:rowOff>
    </xdr:from>
    <xdr:to>
      <xdr:col>12</xdr:col>
      <xdr:colOff>29135</xdr:colOff>
      <xdr:row>2</xdr:row>
      <xdr:rowOff>276831</xdr:rowOff>
    </xdr:to>
    <xdr:pic>
      <xdr:nvPicPr>
        <xdr:cNvPr id="3" name="Picture 2"/>
        <xdr:cNvPicPr>
          <a:picLocks noChangeAspect="1"/>
        </xdr:cNvPicPr>
      </xdr:nvPicPr>
      <xdr:blipFill>
        <a:blip xmlns:r="http://schemas.openxmlformats.org/officeDocument/2006/relationships" r:embed="rId1"/>
        <a:stretch>
          <a:fillRect/>
        </a:stretch>
      </xdr:blipFill>
      <xdr:spPr>
        <a:xfrm>
          <a:off x="9166411" y="268941"/>
          <a:ext cx="1605429" cy="478537"/>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2</xdr:col>
      <xdr:colOff>154214</xdr:colOff>
      <xdr:row>5</xdr:row>
      <xdr:rowOff>478972</xdr:rowOff>
    </xdr:from>
    <xdr:to>
      <xdr:col>9</xdr:col>
      <xdr:colOff>1272643</xdr:colOff>
      <xdr:row>6</xdr:row>
      <xdr:rowOff>3750972</xdr:rowOff>
    </xdr:to>
    <xdr:graphicFrame macro="">
      <xdr:nvGraphicFramePr>
        <xdr:cNvPr id="3" name="Chart 2">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2094518</xdr:colOff>
      <xdr:row>7</xdr:row>
      <xdr:rowOff>66731</xdr:rowOff>
    </xdr:from>
    <xdr:to>
      <xdr:col>4</xdr:col>
      <xdr:colOff>2274518</xdr:colOff>
      <xdr:row>7</xdr:row>
      <xdr:rowOff>246731</xdr:rowOff>
    </xdr:to>
    <xdr:sp macro="" textlink="Parameters!B11">
      <xdr:nvSpPr>
        <xdr:cNvPr id="8" name="Rectangle 7"/>
        <xdr:cNvSpPr/>
      </xdr:nvSpPr>
      <xdr:spPr>
        <a:xfrm>
          <a:off x="2856518" y="5470004"/>
          <a:ext cx="180000" cy="180000"/>
        </a:xfrm>
        <a:prstGeom prst="rect">
          <a:avLst/>
        </a:prstGeom>
        <a:solidFill>
          <a:srgbClr val="0058B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396000" tIns="0" bIns="0" rtlCol="0" anchor="t"/>
        <a:lstStyle/>
        <a:p>
          <a:pPr algn="l"/>
          <a:fld id="{EEEF7064-1644-4025-A29A-507DA3849281}" type="TxLink">
            <a:rPr lang="en-US" sz="1100" b="0" i="0" u="none" strike="noStrike" dirty="0" err="1" smtClean="0">
              <a:solidFill>
                <a:srgbClr val="0058B1"/>
              </a:solidFill>
              <a:latin typeface="Verdana"/>
              <a:ea typeface="Verdana"/>
            </a:rPr>
            <a:pPr algn="l"/>
            <a:t>Organisaation nykytila</a:t>
          </a:fld>
          <a:endParaRPr lang="fi-FI" sz="2000" dirty="0" err="1" smtClean="0">
            <a:solidFill>
              <a:srgbClr val="0058B1"/>
            </a:solidFill>
            <a:latin typeface="+mj-lt"/>
          </a:endParaRPr>
        </a:p>
      </xdr:txBody>
    </xdr:sp>
    <xdr:clientData/>
  </xdr:twoCellAnchor>
  <xdr:twoCellAnchor>
    <xdr:from>
      <xdr:col>8</xdr:col>
      <xdr:colOff>590925</xdr:colOff>
      <xdr:row>7</xdr:row>
      <xdr:rowOff>66731</xdr:rowOff>
    </xdr:from>
    <xdr:to>
      <xdr:col>8</xdr:col>
      <xdr:colOff>777644</xdr:colOff>
      <xdr:row>7</xdr:row>
      <xdr:rowOff>246731</xdr:rowOff>
    </xdr:to>
    <xdr:sp macro="" textlink="Parameters!B12">
      <xdr:nvSpPr>
        <xdr:cNvPr id="9" name="Rectangle 8"/>
        <xdr:cNvSpPr/>
      </xdr:nvSpPr>
      <xdr:spPr>
        <a:xfrm>
          <a:off x="5324561" y="5470004"/>
          <a:ext cx="186719" cy="180000"/>
        </a:xfrm>
        <a:prstGeom prst="rect">
          <a:avLst/>
        </a:prstGeom>
        <a:solidFill>
          <a:schemeClr val="bg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396000" tIns="0" bIns="0" rtlCol="0" anchor="t"/>
        <a:lstStyle/>
        <a:p>
          <a:pPr algn="l"/>
          <a:fld id="{0BF44093-533C-47FD-8E21-4107FA9DC163}" type="TxLink">
            <a:rPr lang="en-US" sz="1100" b="0" i="0" u="none" strike="noStrike" dirty="0" err="1" smtClean="0">
              <a:solidFill>
                <a:srgbClr val="0058B1"/>
              </a:solidFill>
              <a:latin typeface="Verdana"/>
              <a:ea typeface="Verdana"/>
            </a:rPr>
            <a:pPr algn="l"/>
            <a:t>Organisaation edellinen arviointi</a:t>
          </a:fld>
          <a:endParaRPr lang="fi-FI" sz="2000" dirty="0" err="1" smtClean="0">
            <a:solidFill>
              <a:srgbClr val="0058B1"/>
            </a:solidFill>
            <a:latin typeface="+mj-lt"/>
          </a:endParaRPr>
        </a:p>
      </xdr:txBody>
    </xdr:sp>
    <xdr:clientData/>
  </xdr:twoCellAnchor>
  <xdr:twoCellAnchor>
    <xdr:from>
      <xdr:col>8</xdr:col>
      <xdr:colOff>3660253</xdr:colOff>
      <xdr:row>7</xdr:row>
      <xdr:rowOff>66731</xdr:rowOff>
    </xdr:from>
    <xdr:to>
      <xdr:col>8</xdr:col>
      <xdr:colOff>3840253</xdr:colOff>
      <xdr:row>7</xdr:row>
      <xdr:rowOff>246731</xdr:rowOff>
    </xdr:to>
    <xdr:sp macro="" textlink="Parameters!B13">
      <xdr:nvSpPr>
        <xdr:cNvPr id="10" name="Rectangle 9"/>
        <xdr:cNvSpPr/>
      </xdr:nvSpPr>
      <xdr:spPr>
        <a:xfrm>
          <a:off x="8393889" y="5470004"/>
          <a:ext cx="180000" cy="180000"/>
        </a:xfrm>
        <a:prstGeom prst="rect">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396000" tIns="0" bIns="0" rtlCol="0" anchor="t"/>
        <a:lstStyle/>
        <a:p>
          <a:pPr algn="l"/>
          <a:fld id="{D0E14ED9-5FE7-42BC-A5F3-0B2E4847617D}" type="TxLink">
            <a:rPr lang="en-US" sz="1100" b="0" i="0" u="none" strike="noStrike" dirty="0" err="1" smtClean="0">
              <a:solidFill>
                <a:srgbClr val="0058B1"/>
              </a:solidFill>
              <a:latin typeface="Verdana"/>
              <a:ea typeface="Verdana"/>
            </a:rPr>
            <a:pPr algn="l"/>
            <a:t>Referenssiryhmän keskiarvo</a:t>
          </a:fld>
          <a:endParaRPr lang="fi-FI" sz="2000" dirty="0" err="1" smtClean="0">
            <a:solidFill>
              <a:srgbClr val="0058B1"/>
            </a:solidFill>
            <a:latin typeface="+mj-lt"/>
          </a:endParaRPr>
        </a:p>
      </xdr:txBody>
    </xdr:sp>
    <xdr:clientData/>
  </xdr:twoCellAnchor>
  <xdr:twoCellAnchor>
    <xdr:from>
      <xdr:col>10</xdr:col>
      <xdr:colOff>52946</xdr:colOff>
      <xdr:row>6</xdr:row>
      <xdr:rowOff>2922311</xdr:rowOff>
    </xdr:from>
    <xdr:to>
      <xdr:col>10</xdr:col>
      <xdr:colOff>170326</xdr:colOff>
      <xdr:row>6</xdr:row>
      <xdr:rowOff>3282311</xdr:rowOff>
    </xdr:to>
    <xdr:sp macro="" textlink="">
      <xdr:nvSpPr>
        <xdr:cNvPr id="11" name="Rectangle 10"/>
        <xdr:cNvSpPr/>
      </xdr:nvSpPr>
      <xdr:spPr>
        <a:xfrm>
          <a:off x="10847946" y="4515584"/>
          <a:ext cx="117380" cy="360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i-FI" sz="1200" b="1" dirty="0" err="1" smtClean="0">
              <a:solidFill>
                <a:schemeClr val="tx1">
                  <a:lumMod val="50000"/>
                  <a:lumOff val="50000"/>
                </a:schemeClr>
              </a:solidFill>
              <a:latin typeface="+mj-lt"/>
            </a:rPr>
            <a:t>0</a:t>
          </a:r>
        </a:p>
      </xdr:txBody>
    </xdr:sp>
    <xdr:clientData/>
  </xdr:twoCellAnchor>
  <xdr:twoCellAnchor>
    <xdr:from>
      <xdr:col>8</xdr:col>
      <xdr:colOff>5704447</xdr:colOff>
      <xdr:row>6</xdr:row>
      <xdr:rowOff>1977069</xdr:rowOff>
    </xdr:from>
    <xdr:to>
      <xdr:col>13</xdr:col>
      <xdr:colOff>27215</xdr:colOff>
      <xdr:row>6</xdr:row>
      <xdr:rowOff>2639787</xdr:rowOff>
    </xdr:to>
    <xdr:sp macro="" textlink="$R$5">
      <xdr:nvSpPr>
        <xdr:cNvPr id="12" name="Rectangle 11"/>
        <xdr:cNvSpPr/>
      </xdr:nvSpPr>
      <xdr:spPr>
        <a:xfrm>
          <a:off x="10421590" y="3555498"/>
          <a:ext cx="917696" cy="66271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2A4328DE-0FB1-4F9D-8F16-CA125712BBB2}" type="TxLink">
            <a:rPr lang="en-US" sz="1100" b="1" i="0" u="none" strike="noStrike" dirty="0" err="1" smtClean="0">
              <a:solidFill>
                <a:schemeClr val="tx1">
                  <a:lumMod val="50000"/>
                  <a:lumOff val="50000"/>
                </a:schemeClr>
              </a:solidFill>
              <a:latin typeface="Verdana"/>
              <a:ea typeface="Verdana"/>
            </a:rPr>
            <a:pPr algn="ctr"/>
            <a:t>1
&gt; 30%</a:t>
          </a:fld>
          <a:endParaRPr lang="fi-FI" sz="1100" b="1" dirty="0" err="1" smtClean="0">
            <a:solidFill>
              <a:schemeClr val="tx1">
                <a:lumMod val="50000"/>
                <a:lumOff val="50000"/>
              </a:schemeClr>
            </a:solidFill>
            <a:latin typeface="+mj-lt"/>
          </a:endParaRPr>
        </a:p>
      </xdr:txBody>
    </xdr:sp>
    <xdr:clientData/>
  </xdr:twoCellAnchor>
  <xdr:twoCellAnchor>
    <xdr:from>
      <xdr:col>8</xdr:col>
      <xdr:colOff>5668159</xdr:colOff>
      <xdr:row>6</xdr:row>
      <xdr:rowOff>1068110</xdr:rowOff>
    </xdr:from>
    <xdr:to>
      <xdr:col>13</xdr:col>
      <xdr:colOff>45356</xdr:colOff>
      <xdr:row>6</xdr:row>
      <xdr:rowOff>1623785</xdr:rowOff>
    </xdr:to>
    <xdr:sp macro="" textlink="$R$4">
      <xdr:nvSpPr>
        <xdr:cNvPr id="13" name="Rectangle 12"/>
        <xdr:cNvSpPr/>
      </xdr:nvSpPr>
      <xdr:spPr>
        <a:xfrm>
          <a:off x="10385302" y="2646539"/>
          <a:ext cx="972125" cy="5556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29888ADB-CB04-4D41-829B-ED04CC7D8E84}" type="TxLink">
            <a:rPr lang="en-US" sz="1100" b="1" i="0" u="none" strike="noStrike" dirty="0" err="1" smtClean="0">
              <a:solidFill>
                <a:schemeClr val="tx1">
                  <a:lumMod val="50000"/>
                  <a:lumOff val="50000"/>
                </a:schemeClr>
              </a:solidFill>
              <a:latin typeface="Verdana"/>
              <a:ea typeface="Verdana"/>
            </a:rPr>
            <a:pPr algn="ctr"/>
            <a:t>2
&gt; 60%</a:t>
          </a:fld>
          <a:endParaRPr lang="fi-FI" sz="1600" b="1" dirty="0" err="1" smtClean="0">
            <a:solidFill>
              <a:schemeClr val="tx1">
                <a:lumMod val="50000"/>
                <a:lumOff val="50000"/>
              </a:schemeClr>
            </a:solidFill>
            <a:latin typeface="+mj-lt"/>
          </a:endParaRPr>
        </a:p>
      </xdr:txBody>
    </xdr:sp>
    <xdr:clientData/>
  </xdr:twoCellAnchor>
  <xdr:twoCellAnchor>
    <xdr:from>
      <xdr:col>8</xdr:col>
      <xdr:colOff>5713517</xdr:colOff>
      <xdr:row>5</xdr:row>
      <xdr:rowOff>225132</xdr:rowOff>
    </xdr:from>
    <xdr:to>
      <xdr:col>13</xdr:col>
      <xdr:colOff>9072</xdr:colOff>
      <xdr:row>6</xdr:row>
      <xdr:rowOff>780142</xdr:rowOff>
    </xdr:to>
    <xdr:sp macro="" textlink="$R$3">
      <xdr:nvSpPr>
        <xdr:cNvPr id="14" name="Rectangle 13"/>
        <xdr:cNvSpPr/>
      </xdr:nvSpPr>
      <xdr:spPr>
        <a:xfrm>
          <a:off x="10430660" y="1549561"/>
          <a:ext cx="890483" cy="80901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7B5F6B17-9769-4672-8FFB-9827D73BF98A}" type="TxLink">
            <a:rPr lang="en-US" sz="1100" b="1" i="0" u="none" strike="noStrike" dirty="0" err="1" smtClean="0">
              <a:solidFill>
                <a:schemeClr val="tx1">
                  <a:lumMod val="50000"/>
                  <a:lumOff val="50000"/>
                </a:schemeClr>
              </a:solidFill>
              <a:latin typeface="Verdana"/>
              <a:ea typeface="Verdana"/>
            </a:rPr>
            <a:pPr algn="ctr"/>
            <a:t>3
&gt; 90%</a:t>
          </a:fld>
          <a:endParaRPr lang="fi-FI" sz="3200" b="1" dirty="0" err="1" smtClean="0">
            <a:solidFill>
              <a:schemeClr val="tx1">
                <a:lumMod val="50000"/>
                <a:lumOff val="50000"/>
              </a:schemeClr>
            </a:solidFill>
            <a:latin typeface="+mj-lt"/>
          </a:endParaRPr>
        </a:p>
      </xdr:txBody>
    </xdr:sp>
    <xdr:clientData/>
  </xdr:twoCellAnchor>
  <xdr:twoCellAnchor editAs="oneCell">
    <xdr:from>
      <xdr:col>8</xdr:col>
      <xdr:colOff>4457700</xdr:colOff>
      <xdr:row>1</xdr:row>
      <xdr:rowOff>184150</xdr:rowOff>
    </xdr:from>
    <xdr:to>
      <xdr:col>10</xdr:col>
      <xdr:colOff>189541</xdr:colOff>
      <xdr:row>3</xdr:row>
      <xdr:rowOff>198016</xdr:rowOff>
    </xdr:to>
    <xdr:pic>
      <xdr:nvPicPr>
        <xdr:cNvPr id="15" name="Picture 14"/>
        <xdr:cNvPicPr>
          <a:picLocks noChangeAspect="1"/>
        </xdr:cNvPicPr>
      </xdr:nvPicPr>
      <xdr:blipFill>
        <a:blip xmlns:r="http://schemas.openxmlformats.org/officeDocument/2006/relationships" r:embed="rId2"/>
        <a:stretch>
          <a:fillRect/>
        </a:stretch>
      </xdr:blipFill>
      <xdr:spPr>
        <a:xfrm>
          <a:off x="8915400" y="349250"/>
          <a:ext cx="1453191" cy="471066"/>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2</xdr:col>
      <xdr:colOff>154214</xdr:colOff>
      <xdr:row>5</xdr:row>
      <xdr:rowOff>478972</xdr:rowOff>
    </xdr:from>
    <xdr:to>
      <xdr:col>7</xdr:col>
      <xdr:colOff>1272643</xdr:colOff>
      <xdr:row>6</xdr:row>
      <xdr:rowOff>3750972</xdr:rowOff>
    </xdr:to>
    <xdr:graphicFrame macro="">
      <xdr:nvGraphicFramePr>
        <xdr:cNvPr id="6" name="Chart 5">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52610</xdr:colOff>
      <xdr:row>44</xdr:row>
      <xdr:rowOff>129719</xdr:rowOff>
    </xdr:from>
    <xdr:to>
      <xdr:col>3</xdr:col>
      <xdr:colOff>232610</xdr:colOff>
      <xdr:row>44</xdr:row>
      <xdr:rowOff>309719</xdr:rowOff>
    </xdr:to>
    <xdr:sp macro="" textlink="Parameters!B14">
      <xdr:nvSpPr>
        <xdr:cNvPr id="19" name="Rectangle 18"/>
        <xdr:cNvSpPr/>
      </xdr:nvSpPr>
      <xdr:spPr>
        <a:xfrm>
          <a:off x="578753" y="14181362"/>
          <a:ext cx="180000" cy="180000"/>
        </a:xfrm>
        <a:prstGeom prst="rect">
          <a:avLst/>
        </a:prstGeom>
        <a:solidFill>
          <a:srgbClr val="FDECE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396000" tIns="0" bIns="0" rtlCol="0" anchor="t"/>
        <a:lstStyle/>
        <a:p>
          <a:pPr algn="l"/>
          <a:fld id="{251EE8D8-1C2C-41D2-A6C2-2716C3FD3AA8}" type="TxLink">
            <a:rPr lang="en-US" sz="1200" b="0" i="0" u="none" strike="noStrike" dirty="0" err="1" smtClean="0">
              <a:solidFill>
                <a:srgbClr val="0058B1"/>
              </a:solidFill>
              <a:latin typeface="Verdana"/>
              <a:ea typeface="Verdana"/>
            </a:rPr>
            <a:pPr algn="l"/>
            <a:t>Kypsyystaso 0</a:t>
          </a:fld>
          <a:endParaRPr lang="en-US" dirty="0" err="1" smtClean="0"/>
        </a:p>
      </xdr:txBody>
    </xdr:sp>
    <xdr:clientData/>
  </xdr:twoCellAnchor>
  <xdr:twoCellAnchor>
    <xdr:from>
      <xdr:col>3</xdr:col>
      <xdr:colOff>1898949</xdr:colOff>
      <xdr:row>44</xdr:row>
      <xdr:rowOff>129719</xdr:rowOff>
    </xdr:from>
    <xdr:to>
      <xdr:col>3</xdr:col>
      <xdr:colOff>2078949</xdr:colOff>
      <xdr:row>44</xdr:row>
      <xdr:rowOff>309719</xdr:rowOff>
    </xdr:to>
    <xdr:sp macro="" textlink="Parameters!B15">
      <xdr:nvSpPr>
        <xdr:cNvPr id="20" name="Rectangle 19"/>
        <xdr:cNvSpPr/>
      </xdr:nvSpPr>
      <xdr:spPr>
        <a:xfrm>
          <a:off x="2425092" y="14081576"/>
          <a:ext cx="180000" cy="180000"/>
        </a:xfrm>
        <a:prstGeom prst="rect">
          <a:avLst/>
        </a:prstGeom>
        <a:solidFill>
          <a:srgbClr val="E7F3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396000" tIns="0" bIns="0" rtlCol="0" anchor="t"/>
        <a:lstStyle/>
        <a:p>
          <a:pPr algn="l"/>
          <a:fld id="{1907CDBE-9F1F-4A0C-814C-0B93D1F43A19}" type="TxLink">
            <a:rPr lang="en-US" sz="1200" b="0" i="0" u="none" strike="noStrike" dirty="0" err="1" smtClean="0">
              <a:solidFill>
                <a:srgbClr val="0058B1"/>
              </a:solidFill>
              <a:latin typeface="Verdana"/>
              <a:ea typeface="Verdana"/>
            </a:rPr>
            <a:pPr algn="l"/>
            <a:t>Kypsyystaso 1</a:t>
          </a:fld>
          <a:endParaRPr lang="fi-FI" sz="1100" dirty="0" err="1" smtClean="0">
            <a:solidFill>
              <a:srgbClr val="0058B1"/>
            </a:solidFill>
            <a:latin typeface="+mj-lt"/>
          </a:endParaRPr>
        </a:p>
      </xdr:txBody>
    </xdr:sp>
    <xdr:clientData/>
  </xdr:twoCellAnchor>
  <xdr:twoCellAnchor>
    <xdr:from>
      <xdr:col>3</xdr:col>
      <xdr:colOff>3745288</xdr:colOff>
      <xdr:row>44</xdr:row>
      <xdr:rowOff>129719</xdr:rowOff>
    </xdr:from>
    <xdr:to>
      <xdr:col>3</xdr:col>
      <xdr:colOff>3925288</xdr:colOff>
      <xdr:row>44</xdr:row>
      <xdr:rowOff>309719</xdr:rowOff>
    </xdr:to>
    <xdr:sp macro="" textlink="Parameters!B16">
      <xdr:nvSpPr>
        <xdr:cNvPr id="21" name="Rectangle 20"/>
        <xdr:cNvSpPr/>
      </xdr:nvSpPr>
      <xdr:spPr>
        <a:xfrm>
          <a:off x="4271431" y="14081576"/>
          <a:ext cx="180000" cy="180000"/>
        </a:xfrm>
        <a:prstGeom prst="rect">
          <a:avLst/>
        </a:prstGeom>
        <a:solidFill>
          <a:schemeClr val="bg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396000" tIns="0" bIns="0" rtlCol="0" anchor="t"/>
        <a:lstStyle/>
        <a:p>
          <a:pPr algn="l"/>
          <a:fld id="{3360F72B-A86B-4A08-8B0D-97C8F825A06B}" type="TxLink">
            <a:rPr lang="en-US" sz="1200" b="0" i="0" u="none" strike="noStrike" dirty="0" err="1" smtClean="0">
              <a:solidFill>
                <a:srgbClr val="0058B1"/>
              </a:solidFill>
              <a:latin typeface="Verdana"/>
              <a:ea typeface="Verdana"/>
            </a:rPr>
            <a:pPr algn="l"/>
            <a:t>Kypsyystaso 2</a:t>
          </a:fld>
          <a:endParaRPr lang="fi-FI" sz="1100" dirty="0" err="1" smtClean="0">
            <a:solidFill>
              <a:srgbClr val="0058B1"/>
            </a:solidFill>
            <a:latin typeface="+mj-lt"/>
          </a:endParaRPr>
        </a:p>
      </xdr:txBody>
    </xdr:sp>
    <xdr:clientData/>
  </xdr:twoCellAnchor>
  <xdr:twoCellAnchor>
    <xdr:from>
      <xdr:col>4</xdr:col>
      <xdr:colOff>1092198</xdr:colOff>
      <xdr:row>44</xdr:row>
      <xdr:rowOff>129719</xdr:rowOff>
    </xdr:from>
    <xdr:to>
      <xdr:col>4</xdr:col>
      <xdr:colOff>1272198</xdr:colOff>
      <xdr:row>44</xdr:row>
      <xdr:rowOff>309719</xdr:rowOff>
    </xdr:to>
    <xdr:sp macro="" textlink="Parameters!B17">
      <xdr:nvSpPr>
        <xdr:cNvPr id="22" name="Rectangle 21"/>
        <xdr:cNvSpPr/>
      </xdr:nvSpPr>
      <xdr:spPr>
        <a:xfrm>
          <a:off x="6117769" y="14181362"/>
          <a:ext cx="180000" cy="180000"/>
        </a:xfrm>
        <a:prstGeom prst="rect">
          <a:avLst/>
        </a:prstGeom>
        <a:solidFill>
          <a:schemeClr val="bg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396000" tIns="0" bIns="0" rtlCol="0" anchor="t"/>
        <a:lstStyle/>
        <a:p>
          <a:pPr algn="l"/>
          <a:fld id="{C6649E6B-A329-4F57-8B60-AB99E2ED6461}" type="TxLink">
            <a:rPr lang="en-US" sz="1200" b="0" i="0" u="none" strike="noStrike" dirty="0" err="1" smtClean="0">
              <a:solidFill>
                <a:srgbClr val="0058B1"/>
              </a:solidFill>
              <a:latin typeface="Verdana"/>
              <a:ea typeface="Verdana"/>
            </a:rPr>
            <a:pPr algn="l"/>
            <a:t>Kypsyystaso 3</a:t>
          </a:fld>
          <a:endParaRPr lang="fi-FI" sz="1100" dirty="0" err="1" smtClean="0">
            <a:solidFill>
              <a:srgbClr val="0058B1"/>
            </a:solidFill>
            <a:latin typeface="+mj-lt"/>
          </a:endParaRPr>
        </a:p>
      </xdr:txBody>
    </xdr:sp>
    <xdr:clientData/>
  </xdr:twoCellAnchor>
  <xdr:twoCellAnchor>
    <xdr:from>
      <xdr:col>3</xdr:col>
      <xdr:colOff>3565071</xdr:colOff>
      <xdr:row>7</xdr:row>
      <xdr:rowOff>142416</xdr:rowOff>
    </xdr:from>
    <xdr:to>
      <xdr:col>3</xdr:col>
      <xdr:colOff>3745071</xdr:colOff>
      <xdr:row>7</xdr:row>
      <xdr:rowOff>322416</xdr:rowOff>
    </xdr:to>
    <xdr:sp macro="" textlink="Parameters!B11">
      <xdr:nvSpPr>
        <xdr:cNvPr id="23" name="Rectangle 22"/>
        <xdr:cNvSpPr/>
      </xdr:nvSpPr>
      <xdr:spPr>
        <a:xfrm>
          <a:off x="4091214" y="5394773"/>
          <a:ext cx="180000" cy="180000"/>
        </a:xfrm>
        <a:prstGeom prst="rect">
          <a:avLst/>
        </a:prstGeom>
        <a:solidFill>
          <a:srgbClr val="0058B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396000" tIns="0" bIns="0" rtlCol="0" anchor="t"/>
        <a:lstStyle/>
        <a:p>
          <a:pPr algn="l"/>
          <a:fld id="{EEEF7064-1644-4025-A29A-507DA3849281}" type="TxLink">
            <a:rPr lang="en-US" sz="1100" b="0" i="0" u="none" strike="noStrike" dirty="0" err="1" smtClean="0">
              <a:solidFill>
                <a:srgbClr val="0058B1"/>
              </a:solidFill>
              <a:latin typeface="Verdana"/>
              <a:ea typeface="Verdana"/>
            </a:rPr>
            <a:pPr algn="l"/>
            <a:t>Organisaation nykytila</a:t>
          </a:fld>
          <a:endParaRPr lang="fi-FI" sz="2000" dirty="0" err="1" smtClean="0">
            <a:solidFill>
              <a:srgbClr val="0058B1"/>
            </a:solidFill>
            <a:latin typeface="+mj-lt"/>
          </a:endParaRPr>
        </a:p>
      </xdr:txBody>
    </xdr:sp>
    <xdr:clientData/>
  </xdr:twoCellAnchor>
  <xdr:twoCellAnchor>
    <xdr:from>
      <xdr:col>5</xdr:col>
      <xdr:colOff>429076</xdr:colOff>
      <xdr:row>7</xdr:row>
      <xdr:rowOff>142416</xdr:rowOff>
    </xdr:from>
    <xdr:to>
      <xdr:col>6</xdr:col>
      <xdr:colOff>110147</xdr:colOff>
      <xdr:row>7</xdr:row>
      <xdr:rowOff>322416</xdr:rowOff>
    </xdr:to>
    <xdr:sp macro="" textlink="Parameters!B12">
      <xdr:nvSpPr>
        <xdr:cNvPr id="24" name="Rectangle 23"/>
        <xdr:cNvSpPr/>
      </xdr:nvSpPr>
      <xdr:spPr>
        <a:xfrm>
          <a:off x="6842576" y="5394773"/>
          <a:ext cx="180000" cy="180000"/>
        </a:xfrm>
        <a:prstGeom prst="rect">
          <a:avLst/>
        </a:prstGeom>
        <a:solidFill>
          <a:schemeClr val="bg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396000" tIns="0" bIns="0" rtlCol="0" anchor="t"/>
        <a:lstStyle/>
        <a:p>
          <a:pPr algn="l"/>
          <a:fld id="{0BF44093-533C-47FD-8E21-4107FA9DC163}" type="TxLink">
            <a:rPr lang="en-US" sz="1100" b="0" i="0" u="none" strike="noStrike" dirty="0" err="1" smtClean="0">
              <a:solidFill>
                <a:srgbClr val="0058B1"/>
              </a:solidFill>
              <a:latin typeface="Verdana"/>
              <a:ea typeface="Verdana"/>
            </a:rPr>
            <a:pPr algn="l"/>
            <a:t>Organisaation edellinen arviointi</a:t>
          </a:fld>
          <a:endParaRPr lang="fi-FI" sz="2000" dirty="0" err="1" smtClean="0">
            <a:solidFill>
              <a:srgbClr val="0058B1"/>
            </a:solidFill>
            <a:latin typeface="+mj-lt"/>
          </a:endParaRPr>
        </a:p>
      </xdr:txBody>
    </xdr:sp>
    <xdr:clientData/>
  </xdr:twoCellAnchor>
  <xdr:twoCellAnchor>
    <xdr:from>
      <xdr:col>6</xdr:col>
      <xdr:colOff>3225801</xdr:colOff>
      <xdr:row>7</xdr:row>
      <xdr:rowOff>142416</xdr:rowOff>
    </xdr:from>
    <xdr:to>
      <xdr:col>6</xdr:col>
      <xdr:colOff>3405801</xdr:colOff>
      <xdr:row>7</xdr:row>
      <xdr:rowOff>322416</xdr:rowOff>
    </xdr:to>
    <xdr:sp macro="" textlink="Parameters!B13">
      <xdr:nvSpPr>
        <xdr:cNvPr id="25" name="Rectangle 24"/>
        <xdr:cNvSpPr/>
      </xdr:nvSpPr>
      <xdr:spPr>
        <a:xfrm>
          <a:off x="10138230" y="5394773"/>
          <a:ext cx="180000" cy="180000"/>
        </a:xfrm>
        <a:prstGeom prst="rect">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396000" tIns="0" bIns="0" rtlCol="0" anchor="t"/>
        <a:lstStyle/>
        <a:p>
          <a:pPr algn="l"/>
          <a:fld id="{D0E14ED9-5FE7-42BC-A5F3-0B2E4847617D}" type="TxLink">
            <a:rPr lang="en-US" sz="1100" b="0" i="0" u="none" strike="noStrike" dirty="0" err="1" smtClean="0">
              <a:solidFill>
                <a:srgbClr val="0058B1"/>
              </a:solidFill>
              <a:latin typeface="Verdana"/>
              <a:ea typeface="Verdana"/>
            </a:rPr>
            <a:pPr algn="l"/>
            <a:t>Referenssiryhmän keskiarvo</a:t>
          </a:fld>
          <a:endParaRPr lang="fi-FI" sz="2000" dirty="0" err="1" smtClean="0">
            <a:solidFill>
              <a:srgbClr val="0058B1"/>
            </a:solidFill>
            <a:latin typeface="+mj-lt"/>
          </a:endParaRPr>
        </a:p>
      </xdr:txBody>
    </xdr:sp>
    <xdr:clientData/>
  </xdr:twoCellAnchor>
  <xdr:twoCellAnchor>
    <xdr:from>
      <xdr:col>7</xdr:col>
      <xdr:colOff>1152075</xdr:colOff>
      <xdr:row>6</xdr:row>
      <xdr:rowOff>2645225</xdr:rowOff>
    </xdr:from>
    <xdr:to>
      <xdr:col>8</xdr:col>
      <xdr:colOff>124146</xdr:colOff>
      <xdr:row>6</xdr:row>
      <xdr:rowOff>3005225</xdr:rowOff>
    </xdr:to>
    <xdr:sp macro="" textlink="">
      <xdr:nvSpPr>
        <xdr:cNvPr id="12" name="Rectangle 11"/>
        <xdr:cNvSpPr/>
      </xdr:nvSpPr>
      <xdr:spPr>
        <a:xfrm>
          <a:off x="12563932" y="4214582"/>
          <a:ext cx="360000" cy="360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i-FI" sz="1400" b="1" dirty="0" err="1" smtClean="0">
              <a:solidFill>
                <a:schemeClr val="tx1">
                  <a:lumMod val="50000"/>
                  <a:lumOff val="50000"/>
                </a:schemeClr>
              </a:solidFill>
              <a:latin typeface="+mj-lt"/>
            </a:rPr>
            <a:t>0</a:t>
          </a:r>
        </a:p>
      </xdr:txBody>
    </xdr:sp>
    <xdr:clientData/>
  </xdr:twoCellAnchor>
  <xdr:twoCellAnchor>
    <xdr:from>
      <xdr:col>7</xdr:col>
      <xdr:colOff>1152075</xdr:colOff>
      <xdr:row>6</xdr:row>
      <xdr:rowOff>1727196</xdr:rowOff>
    </xdr:from>
    <xdr:to>
      <xdr:col>8</xdr:col>
      <xdr:colOff>124146</xdr:colOff>
      <xdr:row>6</xdr:row>
      <xdr:rowOff>2087196</xdr:rowOff>
    </xdr:to>
    <xdr:sp macro="" textlink="">
      <xdr:nvSpPr>
        <xdr:cNvPr id="13" name="Rectangle 12"/>
        <xdr:cNvSpPr/>
      </xdr:nvSpPr>
      <xdr:spPr>
        <a:xfrm>
          <a:off x="12563932" y="3296553"/>
          <a:ext cx="360000" cy="360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i-FI" sz="1400" b="1" dirty="0" err="1" smtClean="0">
              <a:solidFill>
                <a:schemeClr val="tx1">
                  <a:lumMod val="50000"/>
                  <a:lumOff val="50000"/>
                </a:schemeClr>
              </a:solidFill>
              <a:latin typeface="+mj-lt"/>
            </a:rPr>
            <a:t>1</a:t>
          </a:r>
        </a:p>
      </xdr:txBody>
    </xdr:sp>
    <xdr:clientData/>
  </xdr:twoCellAnchor>
  <xdr:twoCellAnchor>
    <xdr:from>
      <xdr:col>7</xdr:col>
      <xdr:colOff>1152075</xdr:colOff>
      <xdr:row>6</xdr:row>
      <xdr:rowOff>754739</xdr:rowOff>
    </xdr:from>
    <xdr:to>
      <xdr:col>8</xdr:col>
      <xdr:colOff>124146</xdr:colOff>
      <xdr:row>6</xdr:row>
      <xdr:rowOff>1114739</xdr:rowOff>
    </xdr:to>
    <xdr:sp macro="" textlink="">
      <xdr:nvSpPr>
        <xdr:cNvPr id="14" name="Rectangle 13"/>
        <xdr:cNvSpPr/>
      </xdr:nvSpPr>
      <xdr:spPr>
        <a:xfrm>
          <a:off x="12563932" y="2324096"/>
          <a:ext cx="360000" cy="360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i-FI" sz="1400" b="1" dirty="0" err="1" smtClean="0">
              <a:solidFill>
                <a:schemeClr val="tx1">
                  <a:lumMod val="50000"/>
                  <a:lumOff val="50000"/>
                </a:schemeClr>
              </a:solidFill>
              <a:latin typeface="+mj-lt"/>
            </a:rPr>
            <a:t>2</a:t>
          </a:r>
        </a:p>
      </xdr:txBody>
    </xdr:sp>
    <xdr:clientData/>
  </xdr:twoCellAnchor>
  <xdr:twoCellAnchor>
    <xdr:from>
      <xdr:col>7</xdr:col>
      <xdr:colOff>1152075</xdr:colOff>
      <xdr:row>6</xdr:row>
      <xdr:rowOff>54426</xdr:rowOff>
    </xdr:from>
    <xdr:to>
      <xdr:col>8</xdr:col>
      <xdr:colOff>124146</xdr:colOff>
      <xdr:row>6</xdr:row>
      <xdr:rowOff>414426</xdr:rowOff>
    </xdr:to>
    <xdr:sp macro="" textlink="">
      <xdr:nvSpPr>
        <xdr:cNvPr id="16" name="Rectangle 15"/>
        <xdr:cNvSpPr/>
      </xdr:nvSpPr>
      <xdr:spPr>
        <a:xfrm>
          <a:off x="12563932" y="1623783"/>
          <a:ext cx="360000" cy="360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i-FI" sz="1400" b="1" dirty="0" err="1" smtClean="0">
              <a:solidFill>
                <a:schemeClr val="tx1">
                  <a:lumMod val="50000"/>
                  <a:lumOff val="50000"/>
                </a:schemeClr>
              </a:solidFill>
              <a:latin typeface="+mj-lt"/>
            </a:rPr>
            <a:t>3</a:t>
          </a:r>
        </a:p>
      </xdr:txBody>
    </xdr:sp>
    <xdr:clientData/>
  </xdr:twoCellAnchor>
  <xdr:twoCellAnchor editAs="oneCell">
    <xdr:from>
      <xdr:col>6</xdr:col>
      <xdr:colOff>4110493</xdr:colOff>
      <xdr:row>1</xdr:row>
      <xdr:rowOff>182218</xdr:rowOff>
    </xdr:from>
    <xdr:to>
      <xdr:col>8</xdr:col>
      <xdr:colOff>14337</xdr:colOff>
      <xdr:row>3</xdr:row>
      <xdr:rowOff>189458</xdr:rowOff>
    </xdr:to>
    <xdr:pic>
      <xdr:nvPicPr>
        <xdr:cNvPr id="15" name="Picture 14"/>
        <xdr:cNvPicPr>
          <a:picLocks noChangeAspect="1"/>
        </xdr:cNvPicPr>
      </xdr:nvPicPr>
      <xdr:blipFill>
        <a:blip xmlns:r="http://schemas.openxmlformats.org/officeDocument/2006/relationships" r:embed="rId2"/>
        <a:stretch>
          <a:fillRect/>
        </a:stretch>
      </xdr:blipFill>
      <xdr:spPr>
        <a:xfrm>
          <a:off x="10633213" y="349858"/>
          <a:ext cx="1458824" cy="46444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13</xdr:col>
      <xdr:colOff>587828</xdr:colOff>
      <xdr:row>1</xdr:row>
      <xdr:rowOff>195942</xdr:rowOff>
    </xdr:from>
    <xdr:to>
      <xdr:col>16</xdr:col>
      <xdr:colOff>277533</xdr:colOff>
      <xdr:row>3</xdr:row>
      <xdr:rowOff>209808</xdr:rowOff>
    </xdr:to>
    <xdr:pic>
      <xdr:nvPicPr>
        <xdr:cNvPr id="3" name="Picture 2"/>
        <xdr:cNvPicPr>
          <a:picLocks noChangeAspect="1"/>
        </xdr:cNvPicPr>
      </xdr:nvPicPr>
      <xdr:blipFill>
        <a:blip xmlns:r="http://schemas.openxmlformats.org/officeDocument/2006/relationships" r:embed="rId1"/>
        <a:stretch>
          <a:fillRect/>
        </a:stretch>
      </xdr:blipFill>
      <xdr:spPr>
        <a:xfrm>
          <a:off x="15283542" y="359228"/>
          <a:ext cx="1453191" cy="471066"/>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7</xdr:col>
      <xdr:colOff>46182</xdr:colOff>
      <xdr:row>1</xdr:row>
      <xdr:rowOff>184728</xdr:rowOff>
    </xdr:from>
    <xdr:to>
      <xdr:col>8</xdr:col>
      <xdr:colOff>190889</xdr:colOff>
      <xdr:row>3</xdr:row>
      <xdr:rowOff>193975</xdr:rowOff>
    </xdr:to>
    <xdr:pic>
      <xdr:nvPicPr>
        <xdr:cNvPr id="3" name="Picture 2"/>
        <xdr:cNvPicPr>
          <a:picLocks noChangeAspect="1"/>
        </xdr:cNvPicPr>
      </xdr:nvPicPr>
      <xdr:blipFill>
        <a:blip xmlns:r="http://schemas.openxmlformats.org/officeDocument/2006/relationships" r:embed="rId1"/>
        <a:stretch>
          <a:fillRect/>
        </a:stretch>
      </xdr:blipFill>
      <xdr:spPr>
        <a:xfrm>
          <a:off x="10806546" y="354061"/>
          <a:ext cx="1453191" cy="471066"/>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xdr:from>
      <xdr:col>1</xdr:col>
      <xdr:colOff>476250</xdr:colOff>
      <xdr:row>2</xdr:row>
      <xdr:rowOff>152400</xdr:rowOff>
    </xdr:from>
    <xdr:to>
      <xdr:col>17</xdr:col>
      <xdr:colOff>226060</xdr:colOff>
      <xdr:row>41</xdr:row>
      <xdr:rowOff>27940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488950</xdr:colOff>
      <xdr:row>43</xdr:row>
      <xdr:rowOff>146050</xdr:rowOff>
    </xdr:from>
    <xdr:to>
      <xdr:col>17</xdr:col>
      <xdr:colOff>238760</xdr:colOff>
      <xdr:row>82</xdr:row>
      <xdr:rowOff>21590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7</xdr:col>
      <xdr:colOff>202235</xdr:colOff>
      <xdr:row>7</xdr:row>
      <xdr:rowOff>760185</xdr:rowOff>
    </xdr:from>
    <xdr:to>
      <xdr:col>7</xdr:col>
      <xdr:colOff>1582377</xdr:colOff>
      <xdr:row>8</xdr:row>
      <xdr:rowOff>1438185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220057</xdr:colOff>
      <xdr:row>7</xdr:row>
      <xdr:rowOff>760185</xdr:rowOff>
    </xdr:from>
    <xdr:to>
      <xdr:col>8</xdr:col>
      <xdr:colOff>1600199</xdr:colOff>
      <xdr:row>8</xdr:row>
      <xdr:rowOff>1438185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0</xdr:colOff>
      <xdr:row>7</xdr:row>
      <xdr:rowOff>760185</xdr:rowOff>
    </xdr:from>
    <xdr:to>
      <xdr:col>8</xdr:col>
      <xdr:colOff>1637551</xdr:colOff>
      <xdr:row>10</xdr:row>
      <xdr:rowOff>1467214</xdr:rowOff>
    </xdr:to>
    <xdr:grpSp>
      <xdr:nvGrpSpPr>
        <xdr:cNvPr id="39" name="Group 38"/>
        <xdr:cNvGrpSpPr/>
      </xdr:nvGrpSpPr>
      <xdr:grpSpPr>
        <a:xfrm>
          <a:off x="1724025" y="2969985"/>
          <a:ext cx="8571751" cy="4517029"/>
          <a:chOff x="1724025" y="2969985"/>
          <a:chExt cx="8571751" cy="4517029"/>
        </a:xfrm>
      </xdr:grpSpPr>
      <xdr:graphicFrame macro="">
        <xdr:nvGraphicFramePr>
          <xdr:cNvPr id="5" name="Chart 4"/>
          <xdr:cNvGraphicFramePr/>
        </xdr:nvGraphicFramePr>
        <xdr:xfrm>
          <a:off x="1724025" y="2969985"/>
          <a:ext cx="1380142" cy="1440000"/>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6" name="Chart 5"/>
          <xdr:cNvGraphicFramePr>
            <a:graphicFrameLocks/>
          </xdr:cNvGraphicFramePr>
        </xdr:nvGraphicFramePr>
        <xdr:xfrm>
          <a:off x="3522380" y="6047014"/>
          <a:ext cx="1376514" cy="1440000"/>
        </xdr:xfrm>
        <a:graphic>
          <a:graphicData uri="http://schemas.openxmlformats.org/drawingml/2006/chart">
            <c:chart xmlns:c="http://schemas.openxmlformats.org/drawingml/2006/chart" xmlns:r="http://schemas.openxmlformats.org/officeDocument/2006/relationships" r:id="rId4"/>
          </a:graphicData>
        </a:graphic>
      </xdr:graphicFrame>
      <xdr:graphicFrame macro="">
        <xdr:nvGraphicFramePr>
          <xdr:cNvPr id="7" name="Chart 6"/>
          <xdr:cNvGraphicFramePr>
            <a:graphicFrameLocks/>
          </xdr:cNvGraphicFramePr>
        </xdr:nvGraphicFramePr>
        <xdr:xfrm>
          <a:off x="5320735" y="6047014"/>
          <a:ext cx="1376514" cy="1440000"/>
        </xdr:xfrm>
        <a:graphic>
          <a:graphicData uri="http://schemas.openxmlformats.org/drawingml/2006/chart">
            <c:chart xmlns:c="http://schemas.openxmlformats.org/drawingml/2006/chart" xmlns:r="http://schemas.openxmlformats.org/officeDocument/2006/relationships" r:id="rId5"/>
          </a:graphicData>
        </a:graphic>
      </xdr:graphicFrame>
      <xdr:graphicFrame macro="">
        <xdr:nvGraphicFramePr>
          <xdr:cNvPr id="8" name="Chart 7"/>
          <xdr:cNvGraphicFramePr>
            <a:graphicFrameLocks/>
          </xdr:cNvGraphicFramePr>
        </xdr:nvGraphicFramePr>
        <xdr:xfrm>
          <a:off x="7119091" y="6047014"/>
          <a:ext cx="1376514" cy="1440000"/>
        </xdr:xfrm>
        <a:graphic>
          <a:graphicData uri="http://schemas.openxmlformats.org/drawingml/2006/chart">
            <c:chart xmlns:c="http://schemas.openxmlformats.org/drawingml/2006/chart" xmlns:r="http://schemas.openxmlformats.org/officeDocument/2006/relationships" r:id="rId6"/>
          </a:graphicData>
        </a:graphic>
      </xdr:graphicFrame>
      <xdr:graphicFrame macro="">
        <xdr:nvGraphicFramePr>
          <xdr:cNvPr id="9" name="Chart 8"/>
          <xdr:cNvGraphicFramePr/>
        </xdr:nvGraphicFramePr>
        <xdr:xfrm>
          <a:off x="1724025" y="4594224"/>
          <a:ext cx="1373507" cy="1440000"/>
        </xdr:xfrm>
        <a:graphic>
          <a:graphicData uri="http://schemas.openxmlformats.org/drawingml/2006/chart">
            <c:chart xmlns:c="http://schemas.openxmlformats.org/drawingml/2006/chart" xmlns:r="http://schemas.openxmlformats.org/officeDocument/2006/relationships" r:id="rId7"/>
          </a:graphicData>
        </a:graphic>
      </xdr:graphicFrame>
      <xdr:graphicFrame macro="">
        <xdr:nvGraphicFramePr>
          <xdr:cNvPr id="10" name="Chart 9"/>
          <xdr:cNvGraphicFramePr>
            <a:graphicFrameLocks/>
          </xdr:cNvGraphicFramePr>
        </xdr:nvGraphicFramePr>
        <xdr:xfrm>
          <a:off x="3522757" y="4594224"/>
          <a:ext cx="1373506" cy="1440000"/>
        </xdr:xfrm>
        <a:graphic>
          <a:graphicData uri="http://schemas.openxmlformats.org/drawingml/2006/chart">
            <c:chart xmlns:c="http://schemas.openxmlformats.org/drawingml/2006/chart" xmlns:r="http://schemas.openxmlformats.org/officeDocument/2006/relationships" r:id="rId8"/>
          </a:graphicData>
        </a:graphic>
      </xdr:graphicFrame>
      <xdr:graphicFrame macro="">
        <xdr:nvGraphicFramePr>
          <xdr:cNvPr id="11" name="Chart 10"/>
          <xdr:cNvGraphicFramePr>
            <a:graphicFrameLocks/>
          </xdr:cNvGraphicFramePr>
        </xdr:nvGraphicFramePr>
        <xdr:xfrm>
          <a:off x="5321488" y="4594224"/>
          <a:ext cx="1373506" cy="1440000"/>
        </xdr:xfrm>
        <a:graphic>
          <a:graphicData uri="http://schemas.openxmlformats.org/drawingml/2006/chart">
            <c:chart xmlns:c="http://schemas.openxmlformats.org/drawingml/2006/chart" xmlns:r="http://schemas.openxmlformats.org/officeDocument/2006/relationships" r:id="rId9"/>
          </a:graphicData>
        </a:graphic>
      </xdr:graphicFrame>
      <xdr:graphicFrame macro="">
        <xdr:nvGraphicFramePr>
          <xdr:cNvPr id="12" name="Chart 11"/>
          <xdr:cNvGraphicFramePr>
            <a:graphicFrameLocks/>
          </xdr:cNvGraphicFramePr>
        </xdr:nvGraphicFramePr>
        <xdr:xfrm>
          <a:off x="7120220" y="4594224"/>
          <a:ext cx="1373506" cy="1440000"/>
        </xdr:xfrm>
        <a:graphic>
          <a:graphicData uri="http://schemas.openxmlformats.org/drawingml/2006/chart">
            <c:chart xmlns:c="http://schemas.openxmlformats.org/drawingml/2006/chart" xmlns:r="http://schemas.openxmlformats.org/officeDocument/2006/relationships" r:id="rId10"/>
          </a:graphicData>
        </a:graphic>
      </xdr:graphicFrame>
      <xdr:graphicFrame macro="">
        <xdr:nvGraphicFramePr>
          <xdr:cNvPr id="13" name="Chart 12"/>
          <xdr:cNvGraphicFramePr>
            <a:graphicFrameLocks/>
          </xdr:cNvGraphicFramePr>
        </xdr:nvGraphicFramePr>
        <xdr:xfrm>
          <a:off x="8918952" y="4594224"/>
          <a:ext cx="1373507" cy="1440000"/>
        </xdr:xfrm>
        <a:graphic>
          <a:graphicData uri="http://schemas.openxmlformats.org/drawingml/2006/chart">
            <c:chart xmlns:c="http://schemas.openxmlformats.org/drawingml/2006/chart" xmlns:r="http://schemas.openxmlformats.org/officeDocument/2006/relationships" r:id="rId11"/>
          </a:graphicData>
        </a:graphic>
      </xdr:graphicFrame>
      <xdr:graphicFrame macro="">
        <xdr:nvGraphicFramePr>
          <xdr:cNvPr id="14" name="Chart 13"/>
          <xdr:cNvGraphicFramePr>
            <a:graphicFrameLocks/>
          </xdr:cNvGraphicFramePr>
        </xdr:nvGraphicFramePr>
        <xdr:xfrm>
          <a:off x="8917448" y="6019800"/>
          <a:ext cx="1376514" cy="1440000"/>
        </xdr:xfrm>
        <a:graphic>
          <a:graphicData uri="http://schemas.openxmlformats.org/drawingml/2006/chart">
            <c:chart xmlns:c="http://schemas.openxmlformats.org/drawingml/2006/chart" xmlns:r="http://schemas.openxmlformats.org/officeDocument/2006/relationships" r:id="rId12"/>
          </a:graphicData>
        </a:graphic>
      </xdr:graphicFrame>
      <xdr:graphicFrame macro="">
        <xdr:nvGraphicFramePr>
          <xdr:cNvPr id="15" name="Chart 14"/>
          <xdr:cNvGraphicFramePr>
            <a:graphicFrameLocks/>
          </xdr:cNvGraphicFramePr>
        </xdr:nvGraphicFramePr>
        <xdr:xfrm>
          <a:off x="3472182" y="3022225"/>
          <a:ext cx="1470482" cy="1387759"/>
        </xdr:xfrm>
        <a:graphic>
          <a:graphicData uri="http://schemas.openxmlformats.org/drawingml/2006/chart">
            <c:chart xmlns:c="http://schemas.openxmlformats.org/drawingml/2006/chart" xmlns:r="http://schemas.openxmlformats.org/officeDocument/2006/relationships" r:id="rId13"/>
          </a:graphicData>
        </a:graphic>
      </xdr:graphicFrame>
      <xdr:graphicFrame macro="">
        <xdr:nvGraphicFramePr>
          <xdr:cNvPr id="16" name="Chart 15"/>
          <xdr:cNvGraphicFramePr>
            <a:graphicFrameLocks/>
          </xdr:cNvGraphicFramePr>
        </xdr:nvGraphicFramePr>
        <xdr:xfrm>
          <a:off x="5310679" y="2969985"/>
          <a:ext cx="1380142" cy="1440000"/>
        </xdr:xfrm>
        <a:graphic>
          <a:graphicData uri="http://schemas.openxmlformats.org/drawingml/2006/chart">
            <c:chart xmlns:c="http://schemas.openxmlformats.org/drawingml/2006/chart" xmlns:r="http://schemas.openxmlformats.org/officeDocument/2006/relationships" r:id="rId14"/>
          </a:graphicData>
        </a:graphic>
      </xdr:graphicFrame>
      <xdr:graphicFrame macro="">
        <xdr:nvGraphicFramePr>
          <xdr:cNvPr id="17" name="Chart 16"/>
          <xdr:cNvGraphicFramePr>
            <a:graphicFrameLocks/>
          </xdr:cNvGraphicFramePr>
        </xdr:nvGraphicFramePr>
        <xdr:xfrm>
          <a:off x="7058837" y="2969985"/>
          <a:ext cx="1380142" cy="1440000"/>
        </xdr:xfrm>
        <a:graphic>
          <a:graphicData uri="http://schemas.openxmlformats.org/drawingml/2006/chart">
            <c:chart xmlns:c="http://schemas.openxmlformats.org/drawingml/2006/chart" xmlns:r="http://schemas.openxmlformats.org/officeDocument/2006/relationships" r:id="rId15"/>
          </a:graphicData>
        </a:graphic>
      </xdr:graphicFrame>
      <xdr:graphicFrame macro="">
        <xdr:nvGraphicFramePr>
          <xdr:cNvPr id="18" name="Chart 17"/>
          <xdr:cNvGraphicFramePr>
            <a:graphicFrameLocks/>
          </xdr:cNvGraphicFramePr>
        </xdr:nvGraphicFramePr>
        <xdr:xfrm>
          <a:off x="8915634" y="2969985"/>
          <a:ext cx="1380142" cy="1440000"/>
        </xdr:xfrm>
        <a:graphic>
          <a:graphicData uri="http://schemas.openxmlformats.org/drawingml/2006/chart">
            <c:chart xmlns:c="http://schemas.openxmlformats.org/drawingml/2006/chart" xmlns:r="http://schemas.openxmlformats.org/officeDocument/2006/relationships" r:id="rId16"/>
          </a:graphicData>
        </a:graphic>
      </xdr:graphicFrame>
      <xdr:graphicFrame macro="">
        <xdr:nvGraphicFramePr>
          <xdr:cNvPr id="19" name="Chart 18"/>
          <xdr:cNvGraphicFramePr>
            <a:graphicFrameLocks/>
          </xdr:cNvGraphicFramePr>
        </xdr:nvGraphicFramePr>
        <xdr:xfrm>
          <a:off x="1724025" y="6019800"/>
          <a:ext cx="1376514" cy="1440000"/>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4</xdr:col>
      <xdr:colOff>82586</xdr:colOff>
      <xdr:row>15</xdr:row>
      <xdr:rowOff>92526</xdr:rowOff>
    </xdr:from>
    <xdr:to>
      <xdr:col>9</xdr:col>
      <xdr:colOff>1380142</xdr:colOff>
      <xdr:row>17</xdr:row>
      <xdr:rowOff>1440000</xdr:rowOff>
    </xdr:to>
    <xdr:grpSp>
      <xdr:nvGrpSpPr>
        <xdr:cNvPr id="20" name="Group 19"/>
        <xdr:cNvGrpSpPr/>
      </xdr:nvGrpSpPr>
      <xdr:grpSpPr>
        <a:xfrm>
          <a:off x="1806611" y="9255576"/>
          <a:ext cx="9965306" cy="4395474"/>
          <a:chOff x="1806611" y="9255576"/>
          <a:chExt cx="9965306" cy="4395474"/>
        </a:xfrm>
      </xdr:grpSpPr>
      <xdr:graphicFrame macro="">
        <xdr:nvGraphicFramePr>
          <xdr:cNvPr id="21" name="Chart 20"/>
          <xdr:cNvGraphicFramePr>
            <a:graphicFrameLocks/>
          </xdr:cNvGraphicFramePr>
        </xdr:nvGraphicFramePr>
        <xdr:xfrm>
          <a:off x="1806611" y="9255576"/>
          <a:ext cx="1380142" cy="1440000"/>
        </xdr:xfrm>
        <a:graphic>
          <a:graphicData uri="http://schemas.openxmlformats.org/drawingml/2006/chart">
            <c:chart xmlns:c="http://schemas.openxmlformats.org/drawingml/2006/chart" xmlns:r="http://schemas.openxmlformats.org/officeDocument/2006/relationships" r:id="rId18"/>
          </a:graphicData>
        </a:graphic>
      </xdr:graphicFrame>
      <xdr:graphicFrame macro="">
        <xdr:nvGraphicFramePr>
          <xdr:cNvPr id="22" name="Chart 21"/>
          <xdr:cNvGraphicFramePr>
            <a:graphicFrameLocks/>
          </xdr:cNvGraphicFramePr>
        </xdr:nvGraphicFramePr>
        <xdr:xfrm>
          <a:off x="1810169" y="10786833"/>
          <a:ext cx="1373026" cy="1440000"/>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23" name="Chart 22"/>
          <xdr:cNvGraphicFramePr>
            <a:graphicFrameLocks/>
          </xdr:cNvGraphicFramePr>
        </xdr:nvGraphicFramePr>
        <xdr:xfrm>
          <a:off x="3589713" y="9255576"/>
          <a:ext cx="1380142" cy="1440000"/>
        </xdr:xfrm>
        <a:graphic>
          <a:graphicData uri="http://schemas.openxmlformats.org/drawingml/2006/chart">
            <c:chart xmlns:c="http://schemas.openxmlformats.org/drawingml/2006/chart" xmlns:r="http://schemas.openxmlformats.org/officeDocument/2006/relationships" r:id="rId20"/>
          </a:graphicData>
        </a:graphic>
      </xdr:graphicFrame>
      <xdr:graphicFrame macro="">
        <xdr:nvGraphicFramePr>
          <xdr:cNvPr id="24" name="Chart 23"/>
          <xdr:cNvGraphicFramePr>
            <a:graphicFrameLocks/>
          </xdr:cNvGraphicFramePr>
        </xdr:nvGraphicFramePr>
        <xdr:xfrm>
          <a:off x="3526490" y="10786833"/>
          <a:ext cx="1373026" cy="1440000"/>
        </xdr:xfrm>
        <a:graphic>
          <a:graphicData uri="http://schemas.openxmlformats.org/drawingml/2006/chart">
            <c:chart xmlns:c="http://schemas.openxmlformats.org/drawingml/2006/chart" xmlns:r="http://schemas.openxmlformats.org/officeDocument/2006/relationships" r:id="rId21"/>
          </a:graphicData>
        </a:graphic>
      </xdr:graphicFrame>
      <xdr:graphicFrame macro="">
        <xdr:nvGraphicFramePr>
          <xdr:cNvPr id="25" name="Chart 24"/>
          <xdr:cNvGraphicFramePr>
            <a:graphicFrameLocks/>
          </xdr:cNvGraphicFramePr>
        </xdr:nvGraphicFramePr>
        <xdr:xfrm>
          <a:off x="5290228" y="9255576"/>
          <a:ext cx="1380142" cy="1440000"/>
        </xdr:xfrm>
        <a:graphic>
          <a:graphicData uri="http://schemas.openxmlformats.org/drawingml/2006/chart">
            <c:chart xmlns:c="http://schemas.openxmlformats.org/drawingml/2006/chart" xmlns:r="http://schemas.openxmlformats.org/officeDocument/2006/relationships" r:id="rId22"/>
          </a:graphicData>
        </a:graphic>
      </xdr:graphicFrame>
      <xdr:graphicFrame macro="">
        <xdr:nvGraphicFramePr>
          <xdr:cNvPr id="26" name="Chart 25"/>
          <xdr:cNvGraphicFramePr>
            <a:graphicFrameLocks/>
          </xdr:cNvGraphicFramePr>
        </xdr:nvGraphicFramePr>
        <xdr:xfrm>
          <a:off x="5242811" y="10786833"/>
          <a:ext cx="1373026" cy="1440000"/>
        </xdr:xfrm>
        <a:graphic>
          <a:graphicData uri="http://schemas.openxmlformats.org/drawingml/2006/chart">
            <c:chart xmlns:c="http://schemas.openxmlformats.org/drawingml/2006/chart" xmlns:r="http://schemas.openxmlformats.org/officeDocument/2006/relationships" r:id="rId23"/>
          </a:graphicData>
        </a:graphic>
      </xdr:graphicFrame>
      <xdr:graphicFrame macro="">
        <xdr:nvGraphicFramePr>
          <xdr:cNvPr id="27" name="Chart 26"/>
          <xdr:cNvGraphicFramePr>
            <a:graphicFrameLocks/>
          </xdr:cNvGraphicFramePr>
        </xdr:nvGraphicFramePr>
        <xdr:xfrm>
          <a:off x="6990744" y="9255576"/>
          <a:ext cx="1380142" cy="1440000"/>
        </xdr:xfrm>
        <a:graphic>
          <a:graphicData uri="http://schemas.openxmlformats.org/drawingml/2006/chart">
            <c:chart xmlns:c="http://schemas.openxmlformats.org/drawingml/2006/chart" xmlns:r="http://schemas.openxmlformats.org/officeDocument/2006/relationships" r:id="rId24"/>
          </a:graphicData>
        </a:graphic>
      </xdr:graphicFrame>
      <xdr:graphicFrame macro="">
        <xdr:nvGraphicFramePr>
          <xdr:cNvPr id="28" name="Chart 27"/>
          <xdr:cNvGraphicFramePr>
            <a:graphicFrameLocks/>
          </xdr:cNvGraphicFramePr>
        </xdr:nvGraphicFramePr>
        <xdr:xfrm>
          <a:off x="6959133" y="10786833"/>
          <a:ext cx="1373026" cy="1440000"/>
        </xdr:xfrm>
        <a:graphic>
          <a:graphicData uri="http://schemas.openxmlformats.org/drawingml/2006/chart">
            <c:chart xmlns:c="http://schemas.openxmlformats.org/drawingml/2006/chart" xmlns:r="http://schemas.openxmlformats.org/officeDocument/2006/relationships" r:id="rId25"/>
          </a:graphicData>
        </a:graphic>
      </xdr:graphicFrame>
      <xdr:graphicFrame macro="">
        <xdr:nvGraphicFramePr>
          <xdr:cNvPr id="29" name="Chart 28"/>
          <xdr:cNvGraphicFramePr>
            <a:graphicFrameLocks/>
          </xdr:cNvGraphicFramePr>
        </xdr:nvGraphicFramePr>
        <xdr:xfrm>
          <a:off x="8691259" y="9255576"/>
          <a:ext cx="1380142" cy="1440000"/>
        </xdr:xfrm>
        <a:graphic>
          <a:graphicData uri="http://schemas.openxmlformats.org/drawingml/2006/chart">
            <c:chart xmlns:c="http://schemas.openxmlformats.org/drawingml/2006/chart" xmlns:r="http://schemas.openxmlformats.org/officeDocument/2006/relationships" r:id="rId26"/>
          </a:graphicData>
        </a:graphic>
      </xdr:graphicFrame>
      <xdr:graphicFrame macro="">
        <xdr:nvGraphicFramePr>
          <xdr:cNvPr id="30" name="Chart 29"/>
          <xdr:cNvGraphicFramePr>
            <a:graphicFrameLocks/>
          </xdr:cNvGraphicFramePr>
        </xdr:nvGraphicFramePr>
        <xdr:xfrm>
          <a:off x="8675454" y="10786833"/>
          <a:ext cx="1373026" cy="1440000"/>
        </xdr:xfrm>
        <a:graphic>
          <a:graphicData uri="http://schemas.openxmlformats.org/drawingml/2006/chart">
            <c:chart xmlns:c="http://schemas.openxmlformats.org/drawingml/2006/chart" xmlns:r="http://schemas.openxmlformats.org/officeDocument/2006/relationships" r:id="rId27"/>
          </a:graphicData>
        </a:graphic>
      </xdr:graphicFrame>
      <xdr:graphicFrame macro="">
        <xdr:nvGraphicFramePr>
          <xdr:cNvPr id="31" name="Chart 30"/>
          <xdr:cNvGraphicFramePr>
            <a:graphicFrameLocks/>
          </xdr:cNvGraphicFramePr>
        </xdr:nvGraphicFramePr>
        <xdr:xfrm>
          <a:off x="1808425" y="12211050"/>
          <a:ext cx="1376514" cy="1440000"/>
        </xdr:xfrm>
        <a:graphic>
          <a:graphicData uri="http://schemas.openxmlformats.org/drawingml/2006/chart">
            <c:chart xmlns:c="http://schemas.openxmlformats.org/drawingml/2006/chart" xmlns:r="http://schemas.openxmlformats.org/officeDocument/2006/relationships" r:id="rId28"/>
          </a:graphicData>
        </a:graphic>
      </xdr:graphicFrame>
      <xdr:graphicFrame macro="">
        <xdr:nvGraphicFramePr>
          <xdr:cNvPr id="32" name="Chart 31"/>
          <xdr:cNvGraphicFramePr>
            <a:graphicFrameLocks/>
          </xdr:cNvGraphicFramePr>
        </xdr:nvGraphicFramePr>
        <xdr:xfrm>
          <a:off x="5241765" y="12211050"/>
          <a:ext cx="1376514" cy="1440000"/>
        </xdr:xfrm>
        <a:graphic>
          <a:graphicData uri="http://schemas.openxmlformats.org/drawingml/2006/chart">
            <c:chart xmlns:c="http://schemas.openxmlformats.org/drawingml/2006/chart" xmlns:r="http://schemas.openxmlformats.org/officeDocument/2006/relationships" r:id="rId29"/>
          </a:graphicData>
        </a:graphic>
      </xdr:graphicFrame>
      <xdr:graphicFrame macro="">
        <xdr:nvGraphicFramePr>
          <xdr:cNvPr id="33" name="Chart 32"/>
          <xdr:cNvGraphicFramePr>
            <a:graphicFrameLocks/>
          </xdr:cNvGraphicFramePr>
        </xdr:nvGraphicFramePr>
        <xdr:xfrm>
          <a:off x="6958436" y="12211050"/>
          <a:ext cx="1376514" cy="1440000"/>
        </xdr:xfrm>
        <a:graphic>
          <a:graphicData uri="http://schemas.openxmlformats.org/drawingml/2006/chart">
            <c:chart xmlns:c="http://schemas.openxmlformats.org/drawingml/2006/chart" xmlns:r="http://schemas.openxmlformats.org/officeDocument/2006/relationships" r:id="rId30"/>
          </a:graphicData>
        </a:graphic>
      </xdr:graphicFrame>
      <xdr:graphicFrame macro="">
        <xdr:nvGraphicFramePr>
          <xdr:cNvPr id="34" name="Chart 33"/>
          <xdr:cNvGraphicFramePr>
            <a:graphicFrameLocks/>
          </xdr:cNvGraphicFramePr>
        </xdr:nvGraphicFramePr>
        <xdr:xfrm>
          <a:off x="8675106" y="12211050"/>
          <a:ext cx="1376514" cy="1440000"/>
        </xdr:xfrm>
        <a:graphic>
          <a:graphicData uri="http://schemas.openxmlformats.org/drawingml/2006/chart">
            <c:chart xmlns:c="http://schemas.openxmlformats.org/drawingml/2006/chart" xmlns:r="http://schemas.openxmlformats.org/officeDocument/2006/relationships" r:id="rId31"/>
          </a:graphicData>
        </a:graphic>
      </xdr:graphicFrame>
      <xdr:graphicFrame macro="">
        <xdr:nvGraphicFramePr>
          <xdr:cNvPr id="35" name="Chart 34"/>
          <xdr:cNvGraphicFramePr>
            <a:graphicFrameLocks/>
          </xdr:cNvGraphicFramePr>
        </xdr:nvGraphicFramePr>
        <xdr:xfrm>
          <a:off x="3525095" y="12211050"/>
          <a:ext cx="1376514" cy="1440000"/>
        </xdr:xfrm>
        <a:graphic>
          <a:graphicData uri="http://schemas.openxmlformats.org/drawingml/2006/chart">
            <c:chart xmlns:c="http://schemas.openxmlformats.org/drawingml/2006/chart" xmlns:r="http://schemas.openxmlformats.org/officeDocument/2006/relationships" r:id="rId32"/>
          </a:graphicData>
        </a:graphic>
      </xdr:graphicFrame>
      <xdr:graphicFrame macro="">
        <xdr:nvGraphicFramePr>
          <xdr:cNvPr id="36" name="Chart 35"/>
          <xdr:cNvGraphicFramePr>
            <a:graphicFrameLocks/>
          </xdr:cNvGraphicFramePr>
        </xdr:nvGraphicFramePr>
        <xdr:xfrm>
          <a:off x="10391775" y="9255576"/>
          <a:ext cx="1380142" cy="1440000"/>
        </xdr:xfrm>
        <a:graphic>
          <a:graphicData uri="http://schemas.openxmlformats.org/drawingml/2006/chart">
            <c:chart xmlns:c="http://schemas.openxmlformats.org/drawingml/2006/chart" xmlns:r="http://schemas.openxmlformats.org/officeDocument/2006/relationships" r:id="rId33"/>
          </a:graphicData>
        </a:graphic>
      </xdr:graphicFrame>
      <xdr:graphicFrame macro="">
        <xdr:nvGraphicFramePr>
          <xdr:cNvPr id="37" name="Chart 36"/>
          <xdr:cNvGraphicFramePr>
            <a:graphicFrameLocks/>
          </xdr:cNvGraphicFramePr>
        </xdr:nvGraphicFramePr>
        <xdr:xfrm>
          <a:off x="10391775" y="10786833"/>
          <a:ext cx="1373026" cy="1440000"/>
        </xdr:xfrm>
        <a:graphic>
          <a:graphicData uri="http://schemas.openxmlformats.org/drawingml/2006/chart">
            <c:chart xmlns:c="http://schemas.openxmlformats.org/drawingml/2006/chart" xmlns:r="http://schemas.openxmlformats.org/officeDocument/2006/relationships" r:id="rId34"/>
          </a:graphicData>
        </a:graphic>
      </xdr:graphicFrame>
      <xdr:graphicFrame macro="">
        <xdr:nvGraphicFramePr>
          <xdr:cNvPr id="38" name="Chart 37"/>
          <xdr:cNvGraphicFramePr>
            <a:graphicFrameLocks/>
          </xdr:cNvGraphicFramePr>
        </xdr:nvGraphicFramePr>
        <xdr:xfrm>
          <a:off x="10391775" y="12211050"/>
          <a:ext cx="1376514" cy="1440000"/>
        </xdr:xfrm>
        <a:graphic>
          <a:graphicData uri="http://schemas.openxmlformats.org/drawingml/2006/chart">
            <c:chart xmlns:c="http://schemas.openxmlformats.org/drawingml/2006/chart" xmlns:r="http://schemas.openxmlformats.org/officeDocument/2006/relationships" r:id="rId35"/>
          </a:graphicData>
        </a:graphic>
      </xdr:graphicFrame>
    </xdr:grpSp>
    <xdr:clientData/>
  </xdr:twoCellAnchor>
</xdr:wsDr>
</file>

<file path=xl/drawings/drawing2.xml><?xml version="1.0" encoding="utf-8"?>
<xdr:wsDr xmlns:xdr="http://schemas.openxmlformats.org/drawingml/2006/spreadsheetDrawing" xmlns:a="http://schemas.openxmlformats.org/drawingml/2006/main">
  <xdr:oneCellAnchor>
    <xdr:from>
      <xdr:col>9</xdr:col>
      <xdr:colOff>877499</xdr:colOff>
      <xdr:row>2</xdr:row>
      <xdr:rowOff>37757</xdr:rowOff>
    </xdr:from>
    <xdr:ext cx="1599625" cy="476840"/>
    <xdr:pic>
      <xdr:nvPicPr>
        <xdr:cNvPr id="3" name="Picture 2"/>
        <xdr:cNvPicPr>
          <a:picLocks noChangeAspect="1"/>
        </xdr:cNvPicPr>
      </xdr:nvPicPr>
      <xdr:blipFill>
        <a:blip xmlns:r="http://schemas.openxmlformats.org/officeDocument/2006/relationships" r:embed="rId1"/>
        <a:stretch>
          <a:fillRect/>
        </a:stretch>
      </xdr:blipFill>
      <xdr:spPr>
        <a:xfrm>
          <a:off x="12048419" y="373037"/>
          <a:ext cx="1599625" cy="476840"/>
        </a:xfrm>
        <a:prstGeom prst="rect">
          <a:avLst/>
        </a:prstGeom>
      </xdr:spPr>
    </xdr:pic>
    <xdr:clientData/>
  </xdr:oneCellAnchor>
</xdr:wsDr>
</file>

<file path=xl/drawings/drawing20.xml><?xml version="1.0" encoding="utf-8"?>
<xdr:wsDr xmlns:xdr="http://schemas.openxmlformats.org/drawingml/2006/spreadsheetDrawing" xmlns:a="http://schemas.openxmlformats.org/drawingml/2006/main">
  <xdr:twoCellAnchor editAs="oneCell">
    <xdr:from>
      <xdr:col>10</xdr:col>
      <xdr:colOff>620484</xdr:colOff>
      <xdr:row>2</xdr:row>
      <xdr:rowOff>39074</xdr:rowOff>
    </xdr:from>
    <xdr:to>
      <xdr:col>12</xdr:col>
      <xdr:colOff>12245</xdr:colOff>
      <xdr:row>3</xdr:row>
      <xdr:rowOff>290680</xdr:rowOff>
    </xdr:to>
    <xdr:pic>
      <xdr:nvPicPr>
        <xdr:cNvPr id="2" name="Picture 1"/>
        <xdr:cNvPicPr>
          <a:picLocks noChangeAspect="1"/>
        </xdr:cNvPicPr>
      </xdr:nvPicPr>
      <xdr:blipFill>
        <a:blip xmlns:r="http://schemas.openxmlformats.org/officeDocument/2006/relationships" r:embed="rId1"/>
        <a:stretch>
          <a:fillRect/>
        </a:stretch>
      </xdr:blipFill>
      <xdr:spPr>
        <a:xfrm>
          <a:off x="8494484" y="447288"/>
          <a:ext cx="1614261" cy="478392"/>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9</xdr:col>
      <xdr:colOff>300691</xdr:colOff>
      <xdr:row>1</xdr:row>
      <xdr:rowOff>225839</xdr:rowOff>
    </xdr:from>
    <xdr:to>
      <xdr:col>10</xdr:col>
      <xdr:colOff>528145</xdr:colOff>
      <xdr:row>3</xdr:row>
      <xdr:rowOff>250660</xdr:rowOff>
    </xdr:to>
    <xdr:pic>
      <xdr:nvPicPr>
        <xdr:cNvPr id="2" name="Picture 1"/>
        <xdr:cNvPicPr>
          <a:picLocks noChangeAspect="1"/>
        </xdr:cNvPicPr>
      </xdr:nvPicPr>
      <xdr:blipFill>
        <a:blip xmlns:r="http://schemas.openxmlformats.org/officeDocument/2006/relationships" r:embed="rId1"/>
        <a:stretch>
          <a:fillRect/>
        </a:stretch>
      </xdr:blipFill>
      <xdr:spPr>
        <a:xfrm>
          <a:off x="9171641" y="403639"/>
          <a:ext cx="1618104" cy="482021"/>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12</xdr:col>
      <xdr:colOff>289560</xdr:colOff>
      <xdr:row>1</xdr:row>
      <xdr:rowOff>167640</xdr:rowOff>
    </xdr:from>
    <xdr:to>
      <xdr:col>13</xdr:col>
      <xdr:colOff>432111</xdr:colOff>
      <xdr:row>3</xdr:row>
      <xdr:rowOff>158646</xdr:rowOff>
    </xdr:to>
    <xdr:pic>
      <xdr:nvPicPr>
        <xdr:cNvPr id="2" name="Picture 1"/>
        <xdr:cNvPicPr>
          <a:picLocks noChangeAspect="1"/>
        </xdr:cNvPicPr>
      </xdr:nvPicPr>
      <xdr:blipFill>
        <a:blip xmlns:r="http://schemas.openxmlformats.org/officeDocument/2006/relationships" r:embed="rId1"/>
        <a:stretch>
          <a:fillRect/>
        </a:stretch>
      </xdr:blipFill>
      <xdr:spPr>
        <a:xfrm>
          <a:off x="9098280" y="342900"/>
          <a:ext cx="1453191" cy="471066"/>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7</xdr:col>
      <xdr:colOff>246530</xdr:colOff>
      <xdr:row>0</xdr:row>
      <xdr:rowOff>313765</xdr:rowOff>
    </xdr:from>
    <xdr:to>
      <xdr:col>9</xdr:col>
      <xdr:colOff>160779</xdr:colOff>
      <xdr:row>3</xdr:row>
      <xdr:rowOff>7890</xdr:rowOff>
    </xdr:to>
    <xdr:pic>
      <xdr:nvPicPr>
        <xdr:cNvPr id="2" name="Picture 1"/>
        <xdr:cNvPicPr>
          <a:picLocks noChangeAspect="1"/>
        </xdr:cNvPicPr>
      </xdr:nvPicPr>
      <xdr:blipFill>
        <a:blip xmlns:r="http://schemas.openxmlformats.org/officeDocument/2006/relationships" r:embed="rId1"/>
        <a:stretch>
          <a:fillRect/>
        </a:stretch>
      </xdr:blipFill>
      <xdr:spPr>
        <a:xfrm>
          <a:off x="9345706" y="313765"/>
          <a:ext cx="1453191" cy="4710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9</xdr:col>
      <xdr:colOff>963748</xdr:colOff>
      <xdr:row>2</xdr:row>
      <xdr:rowOff>0</xdr:rowOff>
    </xdr:from>
    <xdr:ext cx="1599625" cy="476840"/>
    <xdr:pic>
      <xdr:nvPicPr>
        <xdr:cNvPr id="2" name="Picture 1"/>
        <xdr:cNvPicPr>
          <a:picLocks noChangeAspect="1"/>
        </xdr:cNvPicPr>
      </xdr:nvPicPr>
      <xdr:blipFill>
        <a:blip xmlns:r="http://schemas.openxmlformats.org/officeDocument/2006/relationships" r:embed="rId1"/>
        <a:stretch>
          <a:fillRect/>
        </a:stretch>
      </xdr:blipFill>
      <xdr:spPr>
        <a:xfrm>
          <a:off x="12088948" y="335280"/>
          <a:ext cx="1599625" cy="47684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9</xdr:col>
      <xdr:colOff>978262</xdr:colOff>
      <xdr:row>1</xdr:row>
      <xdr:rowOff>145142</xdr:rowOff>
    </xdr:from>
    <xdr:ext cx="1599625" cy="476840"/>
    <xdr:pic>
      <xdr:nvPicPr>
        <xdr:cNvPr id="2" name="Picture 1"/>
        <xdr:cNvPicPr>
          <a:picLocks noChangeAspect="1"/>
        </xdr:cNvPicPr>
      </xdr:nvPicPr>
      <xdr:blipFill>
        <a:blip xmlns:r="http://schemas.openxmlformats.org/officeDocument/2006/relationships" r:embed="rId1"/>
        <a:stretch>
          <a:fillRect/>
        </a:stretch>
      </xdr:blipFill>
      <xdr:spPr>
        <a:xfrm>
          <a:off x="12103462" y="289922"/>
          <a:ext cx="1599625" cy="47684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9</xdr:col>
      <xdr:colOff>1029062</xdr:colOff>
      <xdr:row>1</xdr:row>
      <xdr:rowOff>190499</xdr:rowOff>
    </xdr:from>
    <xdr:ext cx="1599625" cy="476840"/>
    <xdr:pic>
      <xdr:nvPicPr>
        <xdr:cNvPr id="2" name="Picture 1"/>
        <xdr:cNvPicPr>
          <a:picLocks noChangeAspect="1"/>
        </xdr:cNvPicPr>
      </xdr:nvPicPr>
      <xdr:blipFill>
        <a:blip xmlns:r="http://schemas.openxmlformats.org/officeDocument/2006/relationships" r:embed="rId1"/>
        <a:stretch>
          <a:fillRect/>
        </a:stretch>
      </xdr:blipFill>
      <xdr:spPr>
        <a:xfrm>
          <a:off x="12154262" y="335279"/>
          <a:ext cx="1599625" cy="476840"/>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9</xdr:col>
      <xdr:colOff>1041400</xdr:colOff>
      <xdr:row>2</xdr:row>
      <xdr:rowOff>0</xdr:rowOff>
    </xdr:from>
    <xdr:ext cx="1599625" cy="476840"/>
    <xdr:pic>
      <xdr:nvPicPr>
        <xdr:cNvPr id="2" name="Picture 1"/>
        <xdr:cNvPicPr>
          <a:picLocks noChangeAspect="1"/>
        </xdr:cNvPicPr>
      </xdr:nvPicPr>
      <xdr:blipFill>
        <a:blip xmlns:r="http://schemas.openxmlformats.org/officeDocument/2006/relationships" r:embed="rId1"/>
        <a:stretch>
          <a:fillRect/>
        </a:stretch>
      </xdr:blipFill>
      <xdr:spPr>
        <a:xfrm>
          <a:off x="12166600" y="335280"/>
          <a:ext cx="1599625" cy="476840"/>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9</xdr:col>
      <xdr:colOff>1037771</xdr:colOff>
      <xdr:row>1</xdr:row>
      <xdr:rowOff>136072</xdr:rowOff>
    </xdr:from>
    <xdr:ext cx="1599625" cy="476840"/>
    <xdr:pic>
      <xdr:nvPicPr>
        <xdr:cNvPr id="2" name="Picture 1"/>
        <xdr:cNvPicPr>
          <a:picLocks noChangeAspect="1"/>
        </xdr:cNvPicPr>
      </xdr:nvPicPr>
      <xdr:blipFill>
        <a:blip xmlns:r="http://schemas.openxmlformats.org/officeDocument/2006/relationships" r:embed="rId1"/>
        <a:stretch>
          <a:fillRect/>
        </a:stretch>
      </xdr:blipFill>
      <xdr:spPr>
        <a:xfrm>
          <a:off x="12162971" y="280852"/>
          <a:ext cx="1599625" cy="476840"/>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9</xdr:col>
      <xdr:colOff>1030151</xdr:colOff>
      <xdr:row>1</xdr:row>
      <xdr:rowOff>172357</xdr:rowOff>
    </xdr:from>
    <xdr:ext cx="1599625" cy="476840"/>
    <xdr:pic>
      <xdr:nvPicPr>
        <xdr:cNvPr id="2" name="Picture 1"/>
        <xdr:cNvPicPr>
          <a:picLocks noChangeAspect="1"/>
        </xdr:cNvPicPr>
      </xdr:nvPicPr>
      <xdr:blipFill>
        <a:blip xmlns:r="http://schemas.openxmlformats.org/officeDocument/2006/relationships" r:embed="rId1"/>
        <a:stretch>
          <a:fillRect/>
        </a:stretch>
      </xdr:blipFill>
      <xdr:spPr>
        <a:xfrm>
          <a:off x="12155351" y="317137"/>
          <a:ext cx="1599625" cy="476840"/>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9</xdr:col>
      <xdr:colOff>1002936</xdr:colOff>
      <xdr:row>1</xdr:row>
      <xdr:rowOff>181428</xdr:rowOff>
    </xdr:from>
    <xdr:ext cx="1599625" cy="476840"/>
    <xdr:pic>
      <xdr:nvPicPr>
        <xdr:cNvPr id="2" name="Picture 1"/>
        <xdr:cNvPicPr>
          <a:picLocks noChangeAspect="1"/>
        </xdr:cNvPicPr>
      </xdr:nvPicPr>
      <xdr:blipFill>
        <a:blip xmlns:r="http://schemas.openxmlformats.org/officeDocument/2006/relationships" r:embed="rId1"/>
        <a:stretch>
          <a:fillRect/>
        </a:stretch>
      </xdr:blipFill>
      <xdr:spPr>
        <a:xfrm>
          <a:off x="12128136" y="326208"/>
          <a:ext cx="1599625" cy="476840"/>
        </a:xfrm>
        <a:prstGeom prst="rect">
          <a:avLst/>
        </a:prstGeom>
      </xdr:spPr>
    </xdr:pic>
    <xdr:clientData/>
  </xdr:oneCellAnchor>
</xdr:wsDr>
</file>

<file path=xl/tables/table1.xml><?xml version="1.0" encoding="utf-8"?>
<table xmlns="http://schemas.openxmlformats.org/spreadsheetml/2006/main" id="27" name="Table1628" displayName="Table1628" ref="G9:L475" totalsRowShown="0" headerRowDxfId="81" dataDxfId="80" tableBorderDxfId="79">
  <autoFilter ref="G9:L475"/>
  <tableColumns count="6">
    <tableColumn id="1" name="Practice" dataDxfId="78"/>
    <tableColumn id="2" name="Answer" dataDxfId="77"/>
    <tableColumn id="3" name="Comment" dataDxfId="76"/>
    <tableColumn id="4" name="Int_reference" dataDxfId="75"/>
    <tableColumn id="5" name="Ext_reference" dataDxfId="74"/>
    <tableColumn id="6" name="Development" dataDxfId="73"/>
  </tableColumns>
  <tableStyleInfo name="TableStyleLight13" showFirstColumn="0" showLastColumn="0" showRowStripes="0" showColumnStripes="0"/>
</table>
</file>

<file path=xl/tables/table10.xml><?xml version="1.0" encoding="utf-8"?>
<table xmlns="http://schemas.openxmlformats.org/spreadsheetml/2006/main" id="4" name="Table45" displayName="Table45" ref="J10:M470" totalsRowShown="0" headerRowDxfId="21" dataDxfId="19" headerRowBorderDxfId="20" tableBorderDxfId="18">
  <autoFilter ref="J10:M470"/>
  <tableColumns count="4">
    <tableColumn id="1" name="Practice" dataDxfId="17"/>
    <tableColumn id="2" name="Answer" dataDxfId="16"/>
    <tableColumn id="4" name="Comment V2" dataDxfId="15">
      <calculatedColumnFormula>VLOOKUP($J11,Mapping!E:G,3,FALSE)</calculatedColumnFormula>
    </tableColumn>
    <tableColumn id="3" name="Comparability" dataDxfId="14">
      <calculatedColumnFormula>VLOOKUP($J11,Mapping!E:G,3,FALSE)</calculatedColumnFormula>
    </tableColumn>
  </tableColumns>
  <tableStyleInfo name="TableStyleMedium20" showFirstColumn="0" showLastColumn="0" showRowStripes="1" showColumnStripes="0"/>
</table>
</file>

<file path=xl/tables/table11.xml><?xml version="1.0" encoding="utf-8"?>
<table xmlns="http://schemas.openxmlformats.org/spreadsheetml/2006/main" id="16" name="Table17" displayName="Table17" ref="A2:G399" totalsRowShown="0" headerRowDxfId="10" dataDxfId="8" headerRowBorderDxfId="9" tableBorderDxfId="7">
  <autoFilter ref="A2:G399"/>
  <sortState ref="A3:G398">
    <sortCondition ref="A2:A398"/>
  </sortState>
  <tableColumns count="7">
    <tableColumn id="1" name="Aiempi käytäntö" dataDxfId="6"/>
    <tableColumn id="3" name="Aiempi vastaus" dataDxfId="5">
      <calculatedColumnFormula>VLOOKUP($A3,Table22[],2,FALSE)</calculatedColumnFormula>
    </tableColumn>
    <tableColumn id="2" name="Kommentit" dataDxfId="4">
      <calculatedColumnFormula>VLOOKUP($A3,Table22[],3,FALSE)</calculatedColumnFormula>
    </tableColumn>
    <tableColumn id="4" name="Siirto" dataDxfId="3"/>
    <tableColumn id="5" name="Uusi käytäntö" dataDxfId="2"/>
    <tableColumn id="7" name="Uusi vastaus" dataDxfId="1"/>
    <tableColumn id="6" name="KommentitV2" dataDxfId="0"/>
  </tableColumns>
  <tableStyleInfo name="TableStyleMedium13" showFirstColumn="0" showLastColumn="0" showRowStripes="1" showColumnStripes="0"/>
</table>
</file>

<file path=xl/tables/table2.xml><?xml version="1.0" encoding="utf-8"?>
<table xmlns="http://schemas.openxmlformats.org/spreadsheetml/2006/main" id="29" name="Table29" displayName="Table29" ref="D9:E475" totalsRowShown="0" headerRowDxfId="72" dataDxfId="71" tableBorderDxfId="70">
  <autoFilter ref="D9:E475"/>
  <tableColumns count="2">
    <tableColumn id="1" name="Practice" dataDxfId="69"/>
    <tableColumn id="2" name="Answer" dataDxfId="68"/>
  </tableColumns>
  <tableStyleInfo showFirstColumn="0" showLastColumn="0" showRowStripes="1" showColumnStripes="0"/>
</table>
</file>

<file path=xl/tables/table3.xml><?xml version="1.0" encoding="utf-8"?>
<table xmlns="http://schemas.openxmlformats.org/spreadsheetml/2006/main" id="9" name="ExportKTK" displayName="ExportKTK" ref="A5:B466" totalsRowShown="0" headerRowDxfId="67" dataDxfId="66" tableBorderDxfId="65">
  <autoFilter ref="A5:B466"/>
  <tableColumns count="2">
    <tableColumn id="1" name="Practice" dataDxfId="64"/>
    <tableColumn id="2" name="Answer" dataDxfId="63"/>
  </tableColumns>
  <tableStyleInfo showFirstColumn="0" showLastColumn="0" showRowStripes="1" showColumnStripes="0"/>
</table>
</file>

<file path=xl/tables/table4.xml><?xml version="1.0" encoding="utf-8"?>
<table xmlns="http://schemas.openxmlformats.org/spreadsheetml/2006/main" id="2" name="Table2" displayName="Table2" ref="J20:K31" totalsRowShown="0" headerRowDxfId="62" dataDxfId="60" headerRowBorderDxfId="61" tableBorderDxfId="59">
  <autoFilter ref="J20:K31"/>
  <tableColumns count="2">
    <tableColumn id="1" name="(ENG) Domain" dataDxfId="58"/>
    <tableColumn id="2" name="(ENG) Answer" dataDxfId="57"/>
  </tableColumns>
  <tableStyleInfo name="TableStyleMedium20" showFirstColumn="0" showLastColumn="0" showRowStripes="1" showColumnStripes="0"/>
</table>
</file>

<file path=xl/tables/table5.xml><?xml version="1.0" encoding="utf-8"?>
<table xmlns="http://schemas.openxmlformats.org/spreadsheetml/2006/main" id="3" name="Table4" displayName="Table4" ref="M20:N31" totalsRowShown="0" headerRowDxfId="56" dataDxfId="54" headerRowBorderDxfId="55" tableBorderDxfId="53">
  <autoFilter ref="M20:N31"/>
  <tableColumns count="2">
    <tableColumn id="1" name="(ENG) Domain" dataDxfId="52"/>
    <tableColumn id="2" name="(ENG) Answer" dataDxfId="51"/>
  </tableColumns>
  <tableStyleInfo name="TableStyleMedium20" showFirstColumn="0" showLastColumn="0" showRowStripes="1" showColumnStripes="0"/>
</table>
</file>

<file path=xl/tables/table6.xml><?xml version="1.0" encoding="utf-8"?>
<table xmlns="http://schemas.openxmlformats.org/spreadsheetml/2006/main" id="5" name="Table26" displayName="Table26" ref="C11:H476" totalsRowShown="0" headerRowDxfId="50" dataDxfId="48" headerRowBorderDxfId="49" tableBorderDxfId="47">
  <autoFilter ref="C11:H476"/>
  <tableColumns count="6">
    <tableColumn id="1" name="(FIN) Käytäntö" dataDxfId="46"/>
    <tableColumn id="2" name="(FIN) Vastaus" dataDxfId="45"/>
    <tableColumn id="3" name="(FIN) Kommentit" dataDxfId="44"/>
    <tableColumn id="5" name="(FIN) Sisäinen viittaus" dataDxfId="43"/>
    <tableColumn id="6" name="(FIN) Ulkoinen viittaus" dataDxfId="42"/>
    <tableColumn id="4" name="(FIN) Kehityskohde" dataDxfId="41"/>
  </tableColumns>
  <tableStyleInfo name="TableStyleMedium20" showFirstColumn="0" showLastColumn="0" showRowStripes="1" showColumnStripes="0"/>
</table>
</file>

<file path=xl/tables/table7.xml><?xml version="1.0" encoding="utf-8"?>
<table xmlns="http://schemas.openxmlformats.org/spreadsheetml/2006/main" id="6" name="Table27" displayName="Table27" ref="J11:K16" totalsRowShown="0" headerRowDxfId="40" dataDxfId="38" headerRowBorderDxfId="39" tableBorderDxfId="37">
  <autoFilter ref="J11:K16"/>
  <tableColumns count="2">
    <tableColumn id="1" name="(ENG) Domain" dataDxfId="36"/>
    <tableColumn id="2" name="(ENG) Answer" dataDxfId="35"/>
  </tableColumns>
  <tableStyleInfo name="TableStyleMedium20" showFirstColumn="0" showLastColumn="0" showRowStripes="1" showColumnStripes="0"/>
</table>
</file>

<file path=xl/tables/table8.xml><?xml version="1.0" encoding="utf-8"?>
<table xmlns="http://schemas.openxmlformats.org/spreadsheetml/2006/main" id="7" name="Table278" displayName="Table278" ref="M11:N16" totalsRowShown="0" headerRowDxfId="34" dataDxfId="32" headerRowBorderDxfId="33" tableBorderDxfId="31">
  <autoFilter ref="M11:N16"/>
  <tableColumns count="2">
    <tableColumn id="1" name="(ENG) Domain" dataDxfId="30"/>
    <tableColumn id="2" name="(ENG) Answer" dataDxfId="29"/>
  </tableColumns>
  <tableStyleInfo name="TableStyleMedium20" showFirstColumn="0" showLastColumn="0" showRowStripes="1" showColumnStripes="0"/>
</table>
</file>

<file path=xl/tables/table9.xml><?xml version="1.0" encoding="utf-8"?>
<table xmlns="http://schemas.openxmlformats.org/spreadsheetml/2006/main" id="1" name="Table22" displayName="Table22" ref="D10:F414" totalsRowShown="0" headerRowDxfId="28" dataDxfId="26" headerRowBorderDxfId="27" tableBorderDxfId="25">
  <autoFilter ref="D10:F414"/>
  <tableColumns count="3">
    <tableColumn id="1" name="Practice V1" dataDxfId="24"/>
    <tableColumn id="2" name="Answer V1" dataDxfId="23"/>
    <tableColumn id="3" name="Comment V1" dataDxfId="22"/>
  </tableColumns>
  <tableStyleInfo name="TableStyleMedium20" showFirstColumn="0" showLastColumn="0" showRowStripes="1" showColumnStripes="0"/>
</table>
</file>

<file path=xl/theme/theme1.xml><?xml version="1.0" encoding="utf-8"?>
<a:theme xmlns:a="http://schemas.openxmlformats.org/drawingml/2006/main" name="A) Traficom 1 su">
  <a:themeElements>
    <a:clrScheme name="Traficom">
      <a:dk1>
        <a:sysClr val="windowText" lastClr="000000"/>
      </a:dk1>
      <a:lt1>
        <a:sysClr val="window" lastClr="FFFFFF"/>
      </a:lt1>
      <a:dk2>
        <a:srgbClr val="018285"/>
      </a:dk2>
      <a:lt2>
        <a:srgbClr val="1C6BBA"/>
      </a:lt2>
      <a:accent1>
        <a:srgbClr val="00AEB2"/>
      </a:accent1>
      <a:accent2>
        <a:srgbClr val="018285"/>
      </a:accent2>
      <a:accent3>
        <a:srgbClr val="81D600"/>
      </a:accent3>
      <a:accent4>
        <a:srgbClr val="EC017F"/>
      </a:accent4>
      <a:accent5>
        <a:srgbClr val="0058B1"/>
      </a:accent5>
      <a:accent6>
        <a:srgbClr val="159637"/>
      </a:accent6>
      <a:hlink>
        <a:srgbClr val="0563C1"/>
      </a:hlink>
      <a:folHlink>
        <a:srgbClr val="954F72"/>
      </a:folHlink>
    </a:clrScheme>
    <a:fontScheme name="Mukautettu 1">
      <a:majorFont>
        <a:latin typeface="Verdana"/>
        <a:ea typeface=""/>
        <a:cs typeface=""/>
      </a:majorFont>
      <a:minorFont>
        <a:latin typeface="Verdana"/>
        <a:ea typeface=""/>
        <a:cs typeface=""/>
      </a:minorFont>
    </a:fontScheme>
    <a:fmtScheme name="Office-teem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00AEB2"/>
        </a:solidFill>
        <a:ln>
          <a:solidFill>
            <a:srgbClr val="00AEB2"/>
          </a:solidFill>
        </a:ln>
      </a:spPr>
      <a:bodyPr rtlCol="0" anchor="t"/>
      <a:lstStyle>
        <a:defPPr algn="ctr">
          <a:defRPr dirty="0" err="1" smtClean="0">
            <a:solidFill>
              <a:schemeClr val="bg1"/>
            </a:solidFill>
            <a:latin typeface="+mj-lt"/>
          </a:defRPr>
        </a:defPPr>
      </a:lstStyle>
      <a:style>
        <a:lnRef idx="2">
          <a:schemeClr val="accent1">
            <a:shade val="50000"/>
          </a:schemeClr>
        </a:lnRef>
        <a:fillRef idx="1">
          <a:schemeClr val="accent1"/>
        </a:fillRef>
        <a:effectRef idx="0">
          <a:schemeClr val="accent1"/>
        </a:effectRef>
        <a:fontRef idx="minor">
          <a:schemeClr val="lt1"/>
        </a:fontRef>
      </a:style>
    </a:spDef>
    <a:lnDef>
      <a:spPr>
        <a:ln w="31750">
          <a:solidFill>
            <a:srgbClr val="00AEB2"/>
          </a:solidFill>
        </a:ln>
      </a:spPr>
      <a:bodyPr/>
      <a:lstStyle/>
      <a:style>
        <a:lnRef idx="1">
          <a:schemeClr val="accent1"/>
        </a:lnRef>
        <a:fillRef idx="0">
          <a:schemeClr val="accent1"/>
        </a:fillRef>
        <a:effectRef idx="0">
          <a:schemeClr val="accent1"/>
        </a:effectRef>
        <a:fontRef idx="minor">
          <a:schemeClr val="tx1"/>
        </a:fontRef>
      </a:style>
    </a:lnDef>
    <a:txDef>
      <a:spPr>
        <a:solidFill>
          <a:srgbClr val="00AEB2"/>
        </a:solidFill>
      </a:spPr>
      <a:bodyPr wrap="none" rtlCol="0">
        <a:spAutoFit/>
      </a:bodyPr>
      <a:lstStyle>
        <a:defPPr algn="l">
          <a:defRPr dirty="0" err="1" smtClean="0">
            <a:solidFill>
              <a:schemeClr val="bg1"/>
            </a:solidFill>
          </a:defRPr>
        </a:defPPr>
      </a:lstStyle>
    </a:txDef>
  </a:objectDefaults>
  <a:extraClrSchemeLst/>
  <a:custClrLst>
    <a:custClr name="Traficom 1">
      <a:srgbClr val="00AEB2"/>
    </a:custClr>
    <a:custClr name="Traficom 2">
      <a:srgbClr val="018285"/>
    </a:custClr>
    <a:custClr name="Traficom 3">
      <a:srgbClr val="0058B1"/>
    </a:custClr>
    <a:custClr name="Traficom 4">
      <a:srgbClr val="159637"/>
    </a:custClr>
    <a:custClr name="Traficom 5">
      <a:srgbClr val="81D600"/>
    </a:custClr>
    <a:custClr name="Traficom 6">
      <a:srgbClr val="009EFF"/>
    </a:custClr>
    <a:custClr name="Traficom 7">
      <a:srgbClr val="0066CC"/>
    </a:custClr>
    <a:custClr name="Traficom 8">
      <a:srgbClr val="EC017F"/>
    </a:custClr>
    <a:custClr name="Traficom 9">
      <a:srgbClr val="E90008"/>
    </a:custClr>
    <a:custClr name="Traficom 10">
      <a:srgbClr val="FF7D00"/>
    </a:custClr>
    <a:custClr name="Traficom 11">
      <a:srgbClr val="FFD400"/>
    </a:custClr>
    <a:custClr name="Traficom 12">
      <a:srgbClr val="056805"/>
    </a:custClr>
    <a:custClr name="Traficom 13">
      <a:srgbClr val="026273"/>
    </a:custClr>
    <a:custClr name="Traficom 14">
      <a:srgbClr val="002C74"/>
    </a:custClr>
    <a:custClr name="Traficom 15">
      <a:srgbClr val="820084"/>
    </a:custClr>
    <a:custClr name="Traficom 16">
      <a:srgbClr val="9E003B"/>
    </a:custClr>
  </a:custClrLst>
  <a:extLst>
    <a:ext uri="{05A4C25C-085E-4340-85A3-A5531E510DB2}">
      <thm15:themeFamily xmlns:thm15="http://schemas.microsoft.com/office/thememl/2012/main" name="A) Traficom 1 su" id="{417F7FBC-8D82-49A1-8EC6-4B6731C85255}" vid="{FB2437AC-8BEC-40D3-B6CF-A3569723B9A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0.xml"/><Relationship Id="rId1" Type="http://schemas.openxmlformats.org/officeDocument/2006/relationships/printerSettings" Target="../printerSettings/printerSettings22.bin"/><Relationship Id="rId4" Type="http://schemas.openxmlformats.org/officeDocument/2006/relationships/table" Target="../tables/table2.xml"/></Relationships>
</file>

<file path=xl/worksheets/_rels/sheet2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3" Type="http://schemas.openxmlformats.org/officeDocument/2006/relationships/table" Target="../tables/table4.xml"/><Relationship Id="rId7" Type="http://schemas.openxmlformats.org/officeDocument/2006/relationships/table" Target="../tables/table8.xml"/><Relationship Id="rId2" Type="http://schemas.openxmlformats.org/officeDocument/2006/relationships/drawing" Target="../drawings/drawing21.xml"/><Relationship Id="rId1" Type="http://schemas.openxmlformats.org/officeDocument/2006/relationships/printerSettings" Target="../printerSettings/printerSettings24.bin"/><Relationship Id="rId6" Type="http://schemas.openxmlformats.org/officeDocument/2006/relationships/table" Target="../tables/table7.xml"/><Relationship Id="rId5" Type="http://schemas.openxmlformats.org/officeDocument/2006/relationships/table" Target="../tables/table6.xml"/><Relationship Id="rId4" Type="http://schemas.openxmlformats.org/officeDocument/2006/relationships/table" Target="../tables/table5.xml"/></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22.xml"/><Relationship Id="rId1" Type="http://schemas.openxmlformats.org/officeDocument/2006/relationships/printerSettings" Target="../printerSettings/printerSettings28.bin"/><Relationship Id="rId4" Type="http://schemas.openxmlformats.org/officeDocument/2006/relationships/table" Target="../tables/table1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23.xml"/><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0"/>
  <sheetViews>
    <sheetView workbookViewId="0">
      <selection activeCell="C5" sqref="C5:E48"/>
    </sheetView>
  </sheetViews>
  <sheetFormatPr defaultRowHeight="13.8" x14ac:dyDescent="0.25"/>
  <cols>
    <col min="1" max="1" width="8.7265625" style="654"/>
    <col min="2" max="2" width="3.26953125" style="654" customWidth="1"/>
    <col min="3" max="3" width="12.54296875" style="654" customWidth="1"/>
    <col min="4" max="4" width="10.26953125" style="654" customWidth="1"/>
    <col min="5" max="5" width="56.08984375" style="654" customWidth="1"/>
    <col min="6" max="6" width="2.08984375" style="654" customWidth="1"/>
    <col min="7" max="16384" width="8.7265625" style="654"/>
  </cols>
  <sheetData>
    <row r="1" spans="1:7" x14ac:dyDescent="0.25">
      <c r="A1" s="138"/>
      <c r="B1" s="138"/>
      <c r="C1" s="138"/>
      <c r="D1" s="138"/>
      <c r="E1" s="138"/>
      <c r="F1" s="138"/>
      <c r="G1" s="138"/>
    </row>
    <row r="2" spans="1:7" x14ac:dyDescent="0.25">
      <c r="A2" s="256"/>
      <c r="B2" s="807"/>
      <c r="C2" s="808" t="s">
        <v>2317</v>
      </c>
      <c r="D2" s="808" t="s">
        <v>2318</v>
      </c>
      <c r="E2" s="808" t="s">
        <v>2319</v>
      </c>
      <c r="F2" s="809"/>
      <c r="G2" s="256"/>
    </row>
    <row r="3" spans="1:7" ht="14.4" thickBot="1" x14ac:dyDescent="0.3">
      <c r="A3" s="138"/>
      <c r="B3" s="874"/>
      <c r="C3" s="875" t="s">
        <v>3112</v>
      </c>
      <c r="D3" s="875"/>
      <c r="E3" s="875"/>
      <c r="F3" s="876"/>
      <c r="G3" s="138"/>
    </row>
    <row r="4" spans="1:7" x14ac:dyDescent="0.25">
      <c r="A4" s="169"/>
      <c r="B4" s="810"/>
      <c r="C4" s="1142"/>
      <c r="D4" s="1142"/>
      <c r="E4" s="1142"/>
      <c r="F4" s="811"/>
      <c r="G4" s="278"/>
    </row>
    <row r="5" spans="1:7" x14ac:dyDescent="0.25">
      <c r="A5" s="169"/>
      <c r="B5" s="810"/>
      <c r="C5" s="1152" t="s">
        <v>3115</v>
      </c>
      <c r="D5" s="1153"/>
      <c r="E5" s="1154"/>
      <c r="F5" s="811"/>
      <c r="G5" s="278"/>
    </row>
    <row r="6" spans="1:7" x14ac:dyDescent="0.25">
      <c r="A6" s="169"/>
      <c r="B6" s="810"/>
      <c r="C6" s="1155"/>
      <c r="D6" s="1156"/>
      <c r="E6" s="1157"/>
      <c r="F6" s="811"/>
      <c r="G6" s="278"/>
    </row>
    <row r="7" spans="1:7" x14ac:dyDescent="0.25">
      <c r="A7" s="169"/>
      <c r="B7" s="810"/>
      <c r="C7" s="1155"/>
      <c r="D7" s="1156"/>
      <c r="E7" s="1157"/>
      <c r="F7" s="811"/>
      <c r="G7" s="278"/>
    </row>
    <row r="8" spans="1:7" x14ac:dyDescent="0.25">
      <c r="A8" s="169"/>
      <c r="B8" s="810"/>
      <c r="C8" s="1155"/>
      <c r="D8" s="1156"/>
      <c r="E8" s="1157"/>
      <c r="F8" s="811"/>
      <c r="G8" s="278"/>
    </row>
    <row r="9" spans="1:7" x14ac:dyDescent="0.25">
      <c r="A9" s="169"/>
      <c r="B9" s="810"/>
      <c r="C9" s="1155"/>
      <c r="D9" s="1156"/>
      <c r="E9" s="1157"/>
      <c r="F9" s="811"/>
      <c r="G9" s="278"/>
    </row>
    <row r="10" spans="1:7" x14ac:dyDescent="0.25">
      <c r="A10" s="169"/>
      <c r="B10" s="810"/>
      <c r="C10" s="1155"/>
      <c r="D10" s="1156"/>
      <c r="E10" s="1157"/>
      <c r="F10" s="811"/>
      <c r="G10" s="278"/>
    </row>
    <row r="11" spans="1:7" x14ac:dyDescent="0.25">
      <c r="A11" s="169"/>
      <c r="B11" s="810"/>
      <c r="C11" s="1155"/>
      <c r="D11" s="1156"/>
      <c r="E11" s="1157"/>
      <c r="F11" s="811"/>
      <c r="G11" s="278"/>
    </row>
    <row r="12" spans="1:7" x14ac:dyDescent="0.25">
      <c r="A12" s="169"/>
      <c r="B12" s="810"/>
      <c r="C12" s="1155"/>
      <c r="D12" s="1156"/>
      <c r="E12" s="1157"/>
      <c r="F12" s="811"/>
      <c r="G12" s="278"/>
    </row>
    <row r="13" spans="1:7" x14ac:dyDescent="0.25">
      <c r="A13" s="169"/>
      <c r="B13" s="810"/>
      <c r="C13" s="1155"/>
      <c r="D13" s="1156"/>
      <c r="E13" s="1157"/>
      <c r="F13" s="811"/>
      <c r="G13" s="278"/>
    </row>
    <row r="14" spans="1:7" x14ac:dyDescent="0.25">
      <c r="A14" s="169"/>
      <c r="B14" s="810"/>
      <c r="C14" s="1155"/>
      <c r="D14" s="1156"/>
      <c r="E14" s="1157"/>
      <c r="F14" s="811"/>
      <c r="G14" s="278"/>
    </row>
    <row r="15" spans="1:7" x14ac:dyDescent="0.25">
      <c r="A15" s="169"/>
      <c r="B15" s="810"/>
      <c r="C15" s="1155"/>
      <c r="D15" s="1156"/>
      <c r="E15" s="1157"/>
      <c r="F15" s="811"/>
      <c r="G15" s="278"/>
    </row>
    <row r="16" spans="1:7" x14ac:dyDescent="0.25">
      <c r="A16" s="169"/>
      <c r="B16" s="810"/>
      <c r="C16" s="1155"/>
      <c r="D16" s="1156"/>
      <c r="E16" s="1157"/>
      <c r="F16" s="811"/>
      <c r="G16" s="278"/>
    </row>
    <row r="17" spans="1:7" x14ac:dyDescent="0.25">
      <c r="A17" s="169"/>
      <c r="B17" s="810"/>
      <c r="C17" s="1155"/>
      <c r="D17" s="1156"/>
      <c r="E17" s="1157"/>
      <c r="F17" s="811"/>
      <c r="G17" s="278"/>
    </row>
    <row r="18" spans="1:7" x14ac:dyDescent="0.25">
      <c r="A18" s="169"/>
      <c r="B18" s="810"/>
      <c r="C18" s="1155"/>
      <c r="D18" s="1156"/>
      <c r="E18" s="1157"/>
      <c r="F18" s="811"/>
      <c r="G18" s="278"/>
    </row>
    <row r="19" spans="1:7" x14ac:dyDescent="0.25">
      <c r="A19" s="169"/>
      <c r="B19" s="810"/>
      <c r="C19" s="1155"/>
      <c r="D19" s="1156"/>
      <c r="E19" s="1157"/>
      <c r="F19" s="811"/>
      <c r="G19" s="278"/>
    </row>
    <row r="20" spans="1:7" x14ac:dyDescent="0.25">
      <c r="A20" s="169"/>
      <c r="B20" s="810"/>
      <c r="C20" s="1155"/>
      <c r="D20" s="1156"/>
      <c r="E20" s="1157"/>
      <c r="F20" s="811"/>
      <c r="G20" s="278"/>
    </row>
    <row r="21" spans="1:7" x14ac:dyDescent="0.25">
      <c r="A21" s="169"/>
      <c r="B21" s="810"/>
      <c r="C21" s="1155"/>
      <c r="D21" s="1156"/>
      <c r="E21" s="1157"/>
      <c r="F21" s="811"/>
      <c r="G21" s="278"/>
    </row>
    <row r="22" spans="1:7" x14ac:dyDescent="0.25">
      <c r="A22" s="169"/>
      <c r="B22" s="810"/>
      <c r="C22" s="1155"/>
      <c r="D22" s="1156"/>
      <c r="E22" s="1157"/>
      <c r="F22" s="811"/>
      <c r="G22" s="278"/>
    </row>
    <row r="23" spans="1:7" x14ac:dyDescent="0.25">
      <c r="A23" s="169"/>
      <c r="B23" s="810"/>
      <c r="C23" s="1155"/>
      <c r="D23" s="1156"/>
      <c r="E23" s="1157"/>
      <c r="F23" s="811"/>
      <c r="G23" s="278"/>
    </row>
    <row r="24" spans="1:7" x14ac:dyDescent="0.25">
      <c r="A24" s="169"/>
      <c r="B24" s="810"/>
      <c r="C24" s="1155"/>
      <c r="D24" s="1156"/>
      <c r="E24" s="1157"/>
      <c r="F24" s="811"/>
      <c r="G24" s="278"/>
    </row>
    <row r="25" spans="1:7" x14ac:dyDescent="0.25">
      <c r="A25" s="169"/>
      <c r="B25" s="810"/>
      <c r="C25" s="1155"/>
      <c r="D25" s="1156"/>
      <c r="E25" s="1157"/>
      <c r="F25" s="811"/>
      <c r="G25" s="278"/>
    </row>
    <row r="26" spans="1:7" x14ac:dyDescent="0.25">
      <c r="A26" s="169"/>
      <c r="B26" s="810"/>
      <c r="C26" s="1155"/>
      <c r="D26" s="1156"/>
      <c r="E26" s="1157"/>
      <c r="F26" s="811"/>
      <c r="G26" s="278"/>
    </row>
    <row r="27" spans="1:7" x14ac:dyDescent="0.25">
      <c r="A27" s="169"/>
      <c r="B27" s="810"/>
      <c r="C27" s="1155"/>
      <c r="D27" s="1156"/>
      <c r="E27" s="1157"/>
      <c r="F27" s="811"/>
      <c r="G27" s="278"/>
    </row>
    <row r="28" spans="1:7" x14ac:dyDescent="0.25">
      <c r="A28" s="169"/>
      <c r="B28" s="810"/>
      <c r="C28" s="1155"/>
      <c r="D28" s="1156"/>
      <c r="E28" s="1157"/>
      <c r="F28" s="811"/>
      <c r="G28" s="278"/>
    </row>
    <row r="29" spans="1:7" x14ac:dyDescent="0.25">
      <c r="A29" s="169"/>
      <c r="B29" s="810"/>
      <c r="C29" s="1155"/>
      <c r="D29" s="1156"/>
      <c r="E29" s="1157"/>
      <c r="F29" s="811"/>
      <c r="G29" s="278"/>
    </row>
    <row r="30" spans="1:7" x14ac:dyDescent="0.25">
      <c r="A30" s="169"/>
      <c r="B30" s="810"/>
      <c r="C30" s="1155"/>
      <c r="D30" s="1156"/>
      <c r="E30" s="1157"/>
      <c r="F30" s="811"/>
      <c r="G30" s="278"/>
    </row>
    <row r="31" spans="1:7" x14ac:dyDescent="0.25">
      <c r="A31" s="169"/>
      <c r="B31" s="810"/>
      <c r="C31" s="1155"/>
      <c r="D31" s="1156"/>
      <c r="E31" s="1157"/>
      <c r="F31" s="811"/>
      <c r="G31" s="278"/>
    </row>
    <row r="32" spans="1:7" x14ac:dyDescent="0.25">
      <c r="A32" s="169"/>
      <c r="B32" s="810"/>
      <c r="C32" s="1155"/>
      <c r="D32" s="1156"/>
      <c r="E32" s="1157"/>
      <c r="F32" s="811"/>
      <c r="G32" s="278"/>
    </row>
    <row r="33" spans="1:7" x14ac:dyDescent="0.25">
      <c r="A33" s="169"/>
      <c r="B33" s="810"/>
      <c r="C33" s="1155"/>
      <c r="D33" s="1156"/>
      <c r="E33" s="1157"/>
      <c r="F33" s="811"/>
      <c r="G33" s="278"/>
    </row>
    <row r="34" spans="1:7" x14ac:dyDescent="0.25">
      <c r="A34" s="169"/>
      <c r="B34" s="810"/>
      <c r="C34" s="1155"/>
      <c r="D34" s="1156"/>
      <c r="E34" s="1157"/>
      <c r="F34" s="811"/>
      <c r="G34" s="278"/>
    </row>
    <row r="35" spans="1:7" x14ac:dyDescent="0.25">
      <c r="A35" s="169"/>
      <c r="B35" s="810"/>
      <c r="C35" s="1155"/>
      <c r="D35" s="1156"/>
      <c r="E35" s="1157"/>
      <c r="F35" s="811"/>
      <c r="G35" s="278"/>
    </row>
    <row r="36" spans="1:7" x14ac:dyDescent="0.25">
      <c r="A36" s="169"/>
      <c r="B36" s="810"/>
      <c r="C36" s="1155"/>
      <c r="D36" s="1156"/>
      <c r="E36" s="1157"/>
      <c r="F36" s="811"/>
      <c r="G36" s="278"/>
    </row>
    <row r="37" spans="1:7" x14ac:dyDescent="0.25">
      <c r="A37" s="169"/>
      <c r="B37" s="810"/>
      <c r="C37" s="1155"/>
      <c r="D37" s="1156"/>
      <c r="E37" s="1157"/>
      <c r="F37" s="811"/>
      <c r="G37" s="278"/>
    </row>
    <row r="38" spans="1:7" ht="13.2" customHeight="1" x14ac:dyDescent="0.25">
      <c r="A38" s="817"/>
      <c r="B38" s="818"/>
      <c r="C38" s="1155"/>
      <c r="D38" s="1156"/>
      <c r="E38" s="1157"/>
      <c r="F38" s="819"/>
      <c r="G38" s="820"/>
    </row>
    <row r="39" spans="1:7" ht="13.2" customHeight="1" x14ac:dyDescent="0.25">
      <c r="A39" s="817"/>
      <c r="B39" s="818"/>
      <c r="C39" s="1155"/>
      <c r="D39" s="1156"/>
      <c r="E39" s="1157"/>
      <c r="F39" s="819"/>
      <c r="G39" s="820"/>
    </row>
    <row r="40" spans="1:7" ht="13.2" customHeight="1" x14ac:dyDescent="0.25">
      <c r="A40" s="817"/>
      <c r="B40" s="818"/>
      <c r="C40" s="1155"/>
      <c r="D40" s="1156"/>
      <c r="E40" s="1157"/>
      <c r="F40" s="819"/>
      <c r="G40" s="820"/>
    </row>
    <row r="41" spans="1:7" ht="13.2" customHeight="1" x14ac:dyDescent="0.25">
      <c r="A41" s="817"/>
      <c r="B41" s="818"/>
      <c r="C41" s="1155"/>
      <c r="D41" s="1156"/>
      <c r="E41" s="1157"/>
      <c r="F41" s="819"/>
      <c r="G41" s="820"/>
    </row>
    <row r="42" spans="1:7" ht="13.2" customHeight="1" x14ac:dyDescent="0.25">
      <c r="A42" s="817"/>
      <c r="B42" s="818"/>
      <c r="C42" s="1155"/>
      <c r="D42" s="1156"/>
      <c r="E42" s="1157"/>
      <c r="F42" s="819"/>
      <c r="G42" s="820"/>
    </row>
    <row r="43" spans="1:7" ht="13.2" customHeight="1" x14ac:dyDescent="0.25">
      <c r="A43" s="817"/>
      <c r="B43" s="818"/>
      <c r="C43" s="1155"/>
      <c r="D43" s="1156"/>
      <c r="E43" s="1157"/>
      <c r="F43" s="819"/>
      <c r="G43" s="820"/>
    </row>
    <row r="44" spans="1:7" ht="13.2" customHeight="1" x14ac:dyDescent="0.25">
      <c r="A44" s="817"/>
      <c r="B44" s="818"/>
      <c r="C44" s="1155"/>
      <c r="D44" s="1156"/>
      <c r="E44" s="1157"/>
      <c r="F44" s="819"/>
      <c r="G44" s="820"/>
    </row>
    <row r="45" spans="1:7" ht="13.2" customHeight="1" x14ac:dyDescent="0.25">
      <c r="A45" s="817"/>
      <c r="B45" s="818"/>
      <c r="C45" s="1155"/>
      <c r="D45" s="1156"/>
      <c r="E45" s="1157"/>
      <c r="F45" s="819"/>
      <c r="G45" s="820"/>
    </row>
    <row r="46" spans="1:7" ht="13.2" customHeight="1" x14ac:dyDescent="0.25">
      <c r="A46" s="817"/>
      <c r="B46" s="818"/>
      <c r="C46" s="1155"/>
      <c r="D46" s="1156"/>
      <c r="E46" s="1157"/>
      <c r="F46" s="819"/>
      <c r="G46" s="820"/>
    </row>
    <row r="47" spans="1:7" ht="13.2" customHeight="1" x14ac:dyDescent="0.25">
      <c r="A47" s="817"/>
      <c r="B47" s="818"/>
      <c r="C47" s="1155"/>
      <c r="D47" s="1156"/>
      <c r="E47" s="1157"/>
      <c r="F47" s="819"/>
      <c r="G47" s="820"/>
    </row>
    <row r="48" spans="1:7" ht="13.2" customHeight="1" x14ac:dyDescent="0.25">
      <c r="A48" s="817"/>
      <c r="B48" s="818"/>
      <c r="C48" s="1158"/>
      <c r="D48" s="1159"/>
      <c r="E48" s="1160"/>
      <c r="F48" s="819"/>
      <c r="G48" s="820"/>
    </row>
    <row r="49" spans="1:7" x14ac:dyDescent="0.25">
      <c r="A49" s="240"/>
      <c r="B49" s="812"/>
      <c r="C49" s="813"/>
      <c r="D49" s="814"/>
      <c r="E49" s="814"/>
      <c r="F49" s="815"/>
      <c r="G49" s="240"/>
    </row>
    <row r="50" spans="1:7" x14ac:dyDescent="0.25">
      <c r="A50" s="240"/>
      <c r="B50" s="240"/>
      <c r="C50" s="240"/>
      <c r="D50" s="240"/>
      <c r="E50" s="240"/>
      <c r="F50" s="240"/>
      <c r="G50" s="240"/>
    </row>
  </sheetData>
  <sheetProtection sheet="1" objects="1" scenarios="1"/>
  <mergeCells count="1">
    <mergeCell ref="C5:E48"/>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2" tint="0.79998168889431442"/>
  </sheetPr>
  <dimension ref="A1:U85"/>
  <sheetViews>
    <sheetView showGridLines="0" zoomScale="80" zoomScaleNormal="80" workbookViewId="0"/>
  </sheetViews>
  <sheetFormatPr defaultColWidth="9.26953125" defaultRowHeight="13.8" x14ac:dyDescent="0.25"/>
  <cols>
    <col min="1" max="2" width="1.6328125" style="187" customWidth="1"/>
    <col min="3" max="3" width="2.6328125" style="187" customWidth="1"/>
    <col min="4" max="4" width="3.1796875" style="341" customWidth="1"/>
    <col min="5" max="5" width="55.6328125" style="187" customWidth="1"/>
    <col min="6" max="6" width="2.6328125" style="327" customWidth="1"/>
    <col min="7" max="7" width="14.6328125" style="314" customWidth="1"/>
    <col min="8" max="8" width="30.6328125" customWidth="1"/>
    <col min="9" max="9" width="20.6328125" customWidth="1"/>
    <col min="10" max="10" width="20.6328125" style="342" customWidth="1"/>
    <col min="11" max="11" width="10.6328125" style="187" customWidth="1"/>
    <col min="12" max="12" width="1.6328125" style="343" customWidth="1"/>
    <col min="13" max="13" width="1.6328125" style="344" customWidth="1"/>
    <col min="14" max="14" width="1.6328125" style="343" customWidth="1"/>
    <col min="15" max="15" width="14.6328125" style="314" customWidth="1"/>
    <col min="16" max="16" width="30.6328125" customWidth="1"/>
    <col min="17" max="17" width="20.6328125" customWidth="1"/>
    <col min="18" max="18" width="20.6328125" style="342" customWidth="1"/>
    <col min="19" max="19" width="10.6328125" style="187" customWidth="1"/>
    <col min="20" max="20" width="1.6328125" style="343" customWidth="1"/>
    <col min="21" max="21" width="1.6328125" style="344" customWidth="1"/>
    <col min="22" max="16384" width="9.26953125" style="187"/>
  </cols>
  <sheetData>
    <row r="1" spans="1:21" s="143" customFormat="1" ht="11.4" x14ac:dyDescent="0.25">
      <c r="A1" s="138"/>
      <c r="B1" s="138"/>
      <c r="C1" s="138"/>
      <c r="D1" s="138"/>
      <c r="E1" s="138"/>
      <c r="F1" s="255"/>
      <c r="G1" s="254"/>
      <c r="H1" s="254"/>
      <c r="I1" s="254"/>
      <c r="J1" s="254"/>
      <c r="K1" s="254"/>
      <c r="L1" s="138"/>
      <c r="M1" s="138"/>
      <c r="N1" s="138"/>
      <c r="O1" s="254"/>
      <c r="P1" s="254"/>
      <c r="Q1" s="254"/>
      <c r="R1" s="254"/>
      <c r="S1" s="254"/>
      <c r="T1" s="138"/>
      <c r="U1" s="138"/>
    </row>
    <row r="2" spans="1:21" s="261" customFormat="1" ht="15" customHeight="1" x14ac:dyDescent="0.2">
      <c r="A2" s="256"/>
      <c r="B2" s="145"/>
      <c r="C2" s="257"/>
      <c r="D2" s="148"/>
      <c r="E2" s="258"/>
      <c r="F2" s="149"/>
      <c r="G2" s="259"/>
      <c r="H2" s="259"/>
      <c r="I2" s="259"/>
      <c r="J2" s="259"/>
      <c r="K2" s="259"/>
      <c r="L2" s="150"/>
      <c r="M2" s="256"/>
      <c r="N2" s="896"/>
      <c r="O2" s="897"/>
      <c r="P2" s="897"/>
      <c r="Q2" s="897"/>
      <c r="R2" s="897"/>
      <c r="S2" s="897"/>
      <c r="T2" s="898"/>
      <c r="U2" s="256"/>
    </row>
    <row r="3" spans="1:21" s="261" customFormat="1" ht="25.05" customHeight="1" x14ac:dyDescent="0.25">
      <c r="A3" s="256"/>
      <c r="B3" s="152"/>
      <c r="C3" s="153" t="s">
        <v>71</v>
      </c>
      <c r="D3" s="154"/>
      <c r="E3" s="436"/>
      <c r="F3" s="155"/>
      <c r="H3" s="272" t="str">
        <f>IF(VLOOKUP("GEN-TOTAL",Languages!$A:$D,1,TRUE)="GEN-TOTAL",VLOOKUP("GEN-TOTAL",Languages!$A:$D,Summary!$C$7,TRUE),NA())</f>
        <v>Kokonaisarvio</v>
      </c>
      <c r="I3" s="156" t="str">
        <f>IF(VLOOKUP("GEN-SEC",Languages!$A:$D,1,TRUE)="GEN-SEC",VLOOKUP("GEN-SEC",Languages!$A:$D,Summary!$C$7,TRUE),NA())</f>
        <v>Tiedon luokittelu</v>
      </c>
      <c r="J3" s="437"/>
      <c r="L3" s="157"/>
      <c r="M3" s="256"/>
      <c r="N3" s="899"/>
      <c r="O3" s="1219" t="str">
        <f>VLOOKUP($C$3,Infoimport!$B$4:$C$14,2,FALSE)</f>
        <v>RESPONSE, tiedot Infoimport-välilehdeltä</v>
      </c>
      <c r="P3" s="1219"/>
      <c r="Q3" s="1219"/>
      <c r="R3" s="1219"/>
      <c r="S3" s="1219"/>
      <c r="T3" s="900"/>
      <c r="U3" s="256"/>
    </row>
    <row r="4" spans="1:21" s="322" customFormat="1" ht="25.05" customHeight="1" x14ac:dyDescent="0.3">
      <c r="A4" s="320"/>
      <c r="B4" s="321"/>
      <c r="C4" s="158" t="str">
        <f>IF(VLOOKUP($C$3,Languages!$A:$D,1,TRUE)=$C$3,VLOOKUP($C$3,Languages!$A:$D,Summary!$C$7,TRUE),NA())</f>
        <v>Tapahtumien ja häiriöiden hallinta, toiminnan jatkuvuus (RESPONSE)</v>
      </c>
      <c r="D4" s="262"/>
      <c r="E4" s="263"/>
      <c r="F4" s="324"/>
      <c r="G4" s="324"/>
      <c r="H4" s="265" t="str">
        <f ca="1">VLOOKUP(VLOOKUP(CONCATENATE($C$3),Data!$K:$O,5,FALSE),Parameters!$C$7:$F$10,Summary!$C$7,FALSE)</f>
        <v>Kypsyystaso 0</v>
      </c>
      <c r="I4" s="781"/>
      <c r="J4" s="266"/>
      <c r="K4" s="261"/>
      <c r="L4" s="157"/>
      <c r="M4" s="256"/>
      <c r="N4" s="899"/>
      <c r="O4" s="1219"/>
      <c r="P4" s="1219"/>
      <c r="Q4" s="1219"/>
      <c r="R4" s="1219"/>
      <c r="S4" s="1219"/>
      <c r="T4" s="900"/>
      <c r="U4" s="256"/>
    </row>
    <row r="5" spans="1:21" ht="10.050000000000001" customHeight="1" x14ac:dyDescent="0.25">
      <c r="A5" s="181"/>
      <c r="B5" s="312"/>
      <c r="C5" s="325"/>
      <c r="D5" s="326"/>
      <c r="E5" s="326"/>
      <c r="F5" s="265"/>
      <c r="G5" s="265"/>
      <c r="I5" s="266"/>
      <c r="J5" s="266"/>
      <c r="K5" s="261"/>
      <c r="L5" s="157"/>
      <c r="M5" s="256"/>
      <c r="N5" s="899"/>
      <c r="O5" s="1219"/>
      <c r="P5" s="1219"/>
      <c r="Q5" s="1219"/>
      <c r="R5" s="1219"/>
      <c r="S5" s="1219"/>
      <c r="T5" s="900"/>
      <c r="U5" s="256"/>
    </row>
    <row r="6" spans="1:21" ht="74.55" customHeight="1" x14ac:dyDescent="0.2">
      <c r="A6" s="181"/>
      <c r="B6" s="312"/>
      <c r="C6" s="1216" t="str">
        <f>IF(VLOOKUP(CONCATENATE(C3,"-0"),Languages!$A:$D,1,TRUE)=CONCATENATE(C3,"-0"),VLOOKUP(CONCATENATE(C3,"-0"),Languages!$A:$D,Summary!$C$7,TRUE),NA())</f>
        <v>Tapahtumien ja häiriötilanteiden hallinnan osiossa arvioidaan organisaation kykyä hallita, reagoida ja palautua kybertapahtumista ja -häiriöistä. Organisaation tulee määritellä ja ylläpitää suunnitelmia, prosesseja ja teknologiaa kyberturvallisuuteen liittyvien tapahtumien ja häiriöiden havaitsemiseksi, analysoimiseksi, niihin vastaamiseksi ja niistä palautumiseksi suhteessa sekä suojattaviin kohteisiin kohdistuviin riskeihin, että organisaation asettamiin tavoitteisiin.</v>
      </c>
      <c r="D6" s="1216"/>
      <c r="E6" s="1216"/>
      <c r="F6" s="1216"/>
      <c r="G6" s="1216"/>
      <c r="H6" s="1216"/>
      <c r="I6" s="1216"/>
      <c r="J6" s="1216"/>
      <c r="K6" s="1216"/>
      <c r="L6" s="157"/>
      <c r="M6" s="256"/>
      <c r="N6" s="899"/>
      <c r="O6" s="1219"/>
      <c r="P6" s="1219"/>
      <c r="Q6" s="1219"/>
      <c r="R6" s="1219"/>
      <c r="S6" s="1219"/>
      <c r="T6" s="900"/>
      <c r="U6" s="256"/>
    </row>
    <row r="7" spans="1:21" ht="14.4" customHeight="1" x14ac:dyDescent="0.2">
      <c r="A7" s="181"/>
      <c r="B7" s="312"/>
      <c r="C7" s="268">
        <v>1</v>
      </c>
      <c r="D7" s="269" t="s">
        <v>1</v>
      </c>
      <c r="E7" s="270" t="str">
        <f>IF(VLOOKUP(CONCATENATE($C$3,"-",C7),Languages!$A:$D,1,TRUE)=CONCATENATE($C$3,"-",C7),VLOOKUP(CONCATENATE($C$3,"-",C7),Languages!$A:$D,Summary!$C$7,TRUE),NA())</f>
        <v>Tapahtumien havainnointi</v>
      </c>
      <c r="H7" s="271" t="str">
        <f ca="1">VLOOKUP(VLOOKUP(CONCATENATE($C$3,"-",$C7),Data!$K:$O,5,FALSE),Parameters!$C$7:$F$10,Summary!$C$7,FALSE)</f>
        <v>Kypsyystaso 0</v>
      </c>
      <c r="I7" s="505" t="str">
        <f>IF(VLOOKUP("KM110",Languages!$A:$D,1,TRUE)="KM110",VLOOKUP("KM110",Languages!$A:$D,Summary!$C$7,TRUE),NA())</f>
        <v>Päivämäärä</v>
      </c>
      <c r="J7" s="479"/>
      <c r="K7" s="261"/>
      <c r="L7" s="157"/>
      <c r="M7" s="256"/>
      <c r="N7" s="899"/>
      <c r="O7" s="1219"/>
      <c r="P7" s="1219"/>
      <c r="Q7" s="1219"/>
      <c r="R7" s="1219"/>
      <c r="S7" s="1219"/>
      <c r="T7" s="900"/>
      <c r="U7" s="256"/>
    </row>
    <row r="8" spans="1:21" ht="14.4" customHeight="1" x14ac:dyDescent="0.25">
      <c r="A8" s="181"/>
      <c r="B8" s="312"/>
      <c r="C8" s="268">
        <v>2</v>
      </c>
      <c r="D8" s="269" t="s">
        <v>1</v>
      </c>
      <c r="E8" s="270" t="str">
        <f>IF(VLOOKUP(CONCATENATE($C$3,"-",C8),Languages!$A:$D,1,TRUE)=CONCATENATE($C$3,"-",C8),VLOOKUP(CONCATENATE($C$3,"-",C8),Languages!$A:$D,Summary!$C$7,TRUE),NA())</f>
        <v>Tapahtumien analysointi ja häiriötilanteiden määrittäminen</v>
      </c>
      <c r="F8" s="328"/>
      <c r="H8" s="271" t="str">
        <f ca="1">VLOOKUP(VLOOKUP(CONCATENATE($C$3,"-",$C8),Data!$K:$O,5,FALSE),Parameters!$C$7:$F$10,Summary!$C$7,FALSE)</f>
        <v>Kypsyystaso 0</v>
      </c>
      <c r="I8" s="1217"/>
      <c r="J8" s="1218"/>
      <c r="K8" s="261"/>
      <c r="L8" s="157"/>
      <c r="M8" s="256"/>
      <c r="N8" s="899"/>
      <c r="O8" s="1219"/>
      <c r="P8" s="1219"/>
      <c r="Q8" s="1219"/>
      <c r="R8" s="1219"/>
      <c r="S8" s="1219"/>
      <c r="T8" s="900"/>
      <c r="U8" s="256"/>
    </row>
    <row r="9" spans="1:21" ht="14.4" customHeight="1" x14ac:dyDescent="0.2">
      <c r="A9" s="181"/>
      <c r="B9" s="312"/>
      <c r="C9" s="268">
        <v>3</v>
      </c>
      <c r="D9" s="269" t="s">
        <v>1</v>
      </c>
      <c r="E9" s="270" t="str">
        <f>IF(VLOOKUP(CONCATENATE($C$3,"-",C9),Languages!$A:$D,1,TRUE)=CONCATENATE($C$3,"-",C9),VLOOKUP(CONCATENATE($C$3,"-",C9),Languages!$A:$D,Summary!$C$7,TRUE),NA())</f>
        <v>Tapahtumiin ja häiriöihin reagoiminen</v>
      </c>
      <c r="F9" s="329"/>
      <c r="H9" s="271" t="str">
        <f ca="1">VLOOKUP(VLOOKUP(CONCATENATE($C$3,"-",$C9),Data!$K:$O,5,FALSE),Parameters!$C$7:$F$10,Summary!$C$7,FALSE)</f>
        <v>Kypsyystaso 0</v>
      </c>
      <c r="I9" s="505" t="str">
        <f>IF(VLOOKUP("KM111",Languages!$A:$D,1,TRUE)="KM111",VLOOKUP("KM111",Languages!$A:$D,Summary!$C$7,TRUE),NA())</f>
        <v>Osallistujat</v>
      </c>
      <c r="J9" s="479"/>
      <c r="K9" s="261"/>
      <c r="L9" s="157"/>
      <c r="M9" s="256"/>
      <c r="N9" s="899"/>
      <c r="O9" s="1219"/>
      <c r="P9" s="1219"/>
      <c r="Q9" s="1219"/>
      <c r="R9" s="1219"/>
      <c r="S9" s="1219"/>
      <c r="T9" s="900"/>
      <c r="U9" s="256"/>
    </row>
    <row r="10" spans="1:21" ht="14.4" customHeight="1" x14ac:dyDescent="0.2">
      <c r="A10" s="181"/>
      <c r="B10" s="312"/>
      <c r="C10" s="268">
        <v>4</v>
      </c>
      <c r="D10" s="269" t="s">
        <v>1</v>
      </c>
      <c r="E10" s="270" t="str">
        <f>IF(VLOOKUP(CONCATENATE($C$3,"-",C10),Languages!$A:$D,1,TRUE)=CONCATENATE($C$3,"-",C10),VLOOKUP(CONCATENATE($C$3,"-",C10),Languages!$A:$D,Summary!$C$7,TRUE),NA())</f>
        <v>Kyberturvallisuus osana toiminnan jatkuvuutta</v>
      </c>
      <c r="F10" s="345"/>
      <c r="H10" s="271" t="str">
        <f ca="1">VLOOKUP(VLOOKUP(CONCATENATE($C$3,"-",$C10),Data!$K:$O,5,FALSE),Parameters!$C$7:$F$10,Summary!$C$7,FALSE)</f>
        <v>Kypsyystaso 0</v>
      </c>
      <c r="I10" s="1208"/>
      <c r="J10" s="1209"/>
      <c r="K10" s="261"/>
      <c r="L10" s="157"/>
      <c r="M10" s="256"/>
      <c r="N10" s="899"/>
      <c r="O10" s="1219"/>
      <c r="P10" s="1219"/>
      <c r="Q10" s="1219"/>
      <c r="R10" s="1219"/>
      <c r="S10" s="1219"/>
      <c r="T10" s="900"/>
      <c r="U10" s="256"/>
    </row>
    <row r="11" spans="1:21" ht="14.4" customHeight="1" x14ac:dyDescent="0.2">
      <c r="A11" s="181"/>
      <c r="B11" s="312"/>
      <c r="C11" s="268">
        <v>5</v>
      </c>
      <c r="D11" s="269" t="s">
        <v>1</v>
      </c>
      <c r="E11" s="270" t="str">
        <f>IF(VLOOKUP(CONCATENATE($C$3,"-",C11),Languages!$A:$D,1,TRUE)=CONCATENATE($C$3,"-",C11),VLOOKUP(CONCATENATE($C$3,"-",C11),Languages!$A:$D,Summary!$C$7,TRUE),NA())</f>
        <v>Yleisiä hallintatoimia</v>
      </c>
      <c r="F11" s="345"/>
      <c r="H11" s="271" t="str">
        <f ca="1">VLOOKUP(VLOOKUP(CONCATENATE($C$3,"-",$C11),Data!$K:$O,5,FALSE),Parameters!$C$7:$F$10,Summary!$C$7,FALSE)</f>
        <v>Kypsyystaso 1</v>
      </c>
      <c r="I11" s="1210"/>
      <c r="J11" s="1211"/>
      <c r="K11" s="261"/>
      <c r="L11" s="157"/>
      <c r="M11" s="256"/>
      <c r="N11" s="899"/>
      <c r="O11" s="1219"/>
      <c r="P11" s="1219"/>
      <c r="Q11" s="1219"/>
      <c r="R11" s="1219"/>
      <c r="S11" s="1219"/>
      <c r="T11" s="900"/>
      <c r="U11" s="256"/>
    </row>
    <row r="12" spans="1:21" s="180" customFormat="1" ht="30" customHeight="1" x14ac:dyDescent="0.25">
      <c r="A12" s="169"/>
      <c r="B12" s="273"/>
      <c r="C12" s="173">
        <v>1</v>
      </c>
      <c r="D12" s="173" t="str">
        <f>IF(VLOOKUP(CONCATENATE($C$3,"-",C12),Languages!$A:$D,1,TRUE)=CONCATENATE($C$3,"-",C12),VLOOKUP(CONCATENATE($C$3,"-",C12),Languages!$A:$D,Summary!$C$7,TRUE),NA())</f>
        <v>Tapahtumien havainnointi</v>
      </c>
      <c r="E12" s="173"/>
      <c r="F12" s="275"/>
      <c r="G12" s="275"/>
      <c r="H12" s="276"/>
      <c r="I12" s="276"/>
      <c r="J12" s="276"/>
      <c r="K12" s="276"/>
      <c r="L12" s="157"/>
      <c r="M12" s="256"/>
      <c r="N12" s="899"/>
      <c r="O12" s="1219"/>
      <c r="P12" s="1219"/>
      <c r="Q12" s="1219"/>
      <c r="R12" s="1219"/>
      <c r="S12" s="1219"/>
      <c r="T12" s="900"/>
      <c r="U12" s="256"/>
    </row>
    <row r="13" spans="1:21" s="282" customFormat="1" ht="54.45" customHeight="1" x14ac:dyDescent="0.2">
      <c r="A13" s="279"/>
      <c r="B13" s="280"/>
      <c r="C13" s="1223" t="str">
        <f>IF(VLOOKUP(CONCATENATE($C$3,"-",$C12,"-0"),Languages!$A:$D,1,TRUE)=CONCATENATE($C$3,"-",$C12,"-0"),VLOOKUP(CONCATENATE($C$3,"-",$C12,"-0"),Languages!$A:$D,Summary!$C$7,TRUE),NA())</f>
        <v>Kybertapahtumien havainnointi sisältää keskitetyn raportointikanavan tapahtumia varten sekä arviointiperusteiden määrittelyn. Arviointiperusteiden tulee noudattaa kyberriskienhallintastrategiaa, varmistaa tapahtumien johdonmukainen arviointi sekä tarjota rakenteen kybertapahtumien tunnistamiseksi, kybertapahtuman eskaloimiseksi ja tapahtuman korottaminen kyberhäiriöksi.</v>
      </c>
      <c r="D13" s="1223"/>
      <c r="E13" s="1223"/>
      <c r="F13" s="1223"/>
      <c r="G13" s="1223"/>
      <c r="H13" s="1223"/>
      <c r="I13" s="1223"/>
      <c r="J13" s="1223"/>
      <c r="K13" s="1223"/>
      <c r="L13" s="157"/>
      <c r="M13" s="256"/>
      <c r="N13" s="899"/>
      <c r="O13" s="1219"/>
      <c r="P13" s="1219"/>
      <c r="Q13" s="1219"/>
      <c r="R13" s="1219"/>
      <c r="S13" s="1219"/>
      <c r="T13" s="900"/>
      <c r="U13" s="256"/>
    </row>
    <row r="14" spans="1:21" s="180" customFormat="1" ht="30" customHeight="1" x14ac:dyDescent="0.25">
      <c r="A14" s="169"/>
      <c r="B14" s="273"/>
      <c r="C14" s="173">
        <v>2</v>
      </c>
      <c r="D14" s="173" t="str">
        <f>IF(VLOOKUP(CONCATENATE($C$3,"-",C14),Languages!$A:$D,1,TRUE)=CONCATENATE($C$3,"-",C14),VLOOKUP(CONCATENATE($C$3,"-",C14),Languages!$A:$D,Summary!$C$7,TRUE),NA())</f>
        <v>Tapahtumien analysointi ja häiriötilanteiden määrittäminen</v>
      </c>
      <c r="E14" s="173"/>
      <c r="F14" s="296"/>
      <c r="G14" s="296" t="s">
        <v>16</v>
      </c>
      <c r="H14" s="297"/>
      <c r="I14" s="297"/>
      <c r="J14" s="297"/>
      <c r="K14" s="297"/>
      <c r="L14" s="157"/>
      <c r="M14" s="256"/>
      <c r="N14" s="899"/>
      <c r="O14" s="1219"/>
      <c r="P14" s="1219"/>
      <c r="Q14" s="1219"/>
      <c r="R14" s="1219"/>
      <c r="S14" s="1219"/>
      <c r="T14" s="900"/>
      <c r="U14" s="256"/>
    </row>
    <row r="15" spans="1:21" s="282" customFormat="1" ht="49.95" customHeight="1" x14ac:dyDescent="0.2">
      <c r="A15" s="279"/>
      <c r="B15" s="280"/>
      <c r="C15" s="1223" t="str">
        <f>IF(VLOOKUP(CONCATENATE($C$3,"-",$C14,"-0"),Languages!$A:$D,1,TRUE)=CONCATENATE($C$3,"-",$C14,"-0"),VLOOKUP(CONCATENATE($C$3,"-",$C14,"-0"),Languages!$A:$D,Summary!$C$7,TRUE),NA())</f>
        <v>Kybertapahtumien eskalointi sisältää kohdassa "Kybertapahtumien havainnointi" mainittujen arviointiperusteiden soveltamista ja sellaisten tilanteiden tunnistamista, joissa kybertapahtumaa tulee käsitellä ennalta määritettyjen suunnitelmien mukaisesti. Eskaloidut kybertapahtumat ja -häiriöt voivat johtaa ulkoisiin velvoitteisiin kuten esimerkiksi viranomaisraportointiin tai asiakkaiden tiedottamiseen. Useampien kybertapahtumien ja häiriöiden korrelointi keskenään saattaa paljastaa systemaattisia ongelmia ympäristössä.</v>
      </c>
      <c r="D15" s="1223"/>
      <c r="E15" s="1223"/>
      <c r="F15" s="1223"/>
      <c r="G15" s="1223"/>
      <c r="H15" s="1223"/>
      <c r="I15" s="1223"/>
      <c r="J15" s="1223"/>
      <c r="K15" s="1223"/>
      <c r="L15" s="157"/>
      <c r="M15" s="256"/>
      <c r="N15" s="899"/>
      <c r="O15" s="1219"/>
      <c r="P15" s="1219"/>
      <c r="Q15" s="1219"/>
      <c r="R15" s="1219"/>
      <c r="S15" s="1219"/>
      <c r="T15" s="900"/>
      <c r="U15" s="256"/>
    </row>
    <row r="16" spans="1:21" s="180" customFormat="1" ht="30" customHeight="1" x14ac:dyDescent="0.25">
      <c r="A16" s="169"/>
      <c r="B16" s="273"/>
      <c r="C16" s="173">
        <v>3</v>
      </c>
      <c r="D16" s="173" t="str">
        <f>IF(VLOOKUP(CONCATENATE($C$3,"-",C16),Languages!$A:$D,1,TRUE)=CONCATENATE($C$3,"-",C16),VLOOKUP(CONCATENATE($C$3,"-",C16),Languages!$A:$D,Summary!$C$7,TRUE),NA())</f>
        <v>Tapahtumiin ja häiriöihin reagoiminen</v>
      </c>
      <c r="E16" s="173"/>
      <c r="F16" s="296"/>
      <c r="G16" s="296" t="s">
        <v>16</v>
      </c>
      <c r="H16" s="297"/>
      <c r="I16" s="297"/>
      <c r="J16" s="297"/>
      <c r="K16" s="297"/>
      <c r="L16" s="157"/>
      <c r="M16" s="256"/>
      <c r="N16" s="899"/>
      <c r="O16" s="1219"/>
      <c r="P16" s="1219"/>
      <c r="Q16" s="1219"/>
      <c r="R16" s="1219"/>
      <c r="S16" s="1219"/>
      <c r="T16" s="900"/>
      <c r="U16" s="256"/>
    </row>
    <row r="17" spans="1:21" s="300" customFormat="1" ht="46.05" customHeight="1" x14ac:dyDescent="0.2">
      <c r="A17" s="309"/>
      <c r="B17" s="713"/>
      <c r="C17" s="1223" t="str">
        <f>IF(VLOOKUP(CONCATENATE($C$3,"-",$C16,"-0"),Languages!$A:$D,1,TRUE)=CONCATENATE($C$3,"-",$C16,"-0"),VLOOKUP(CONCATENATE($C$3,"-",$C16,"-0"),Languages!$A:$D,Summary!$C$7,TRUE),NA())</f>
        <v>Kyberhäiriöihin reagoiminen edellyttää organisaatiolta prosessia, jolla voidaan rajata kyberhäiriöiden vaikutusta muihin toimintoihin. Prosessin tulee kuvata miten organisaatio hallitsee häiriön koko elinkaarta (esim. triage, käsittely, kommunikointi, koordinointi ja sulkeminen). Saatujen kokemusten arviointi osana kybertapahtumien ja -häiriöiden hoitamista auttaa organisaatiota poistamaan haavoittuvuudet, jotka johtivat poikkeamaan.</v>
      </c>
      <c r="D17" s="1223"/>
      <c r="E17" s="1223"/>
      <c r="F17" s="1223"/>
      <c r="G17" s="1223"/>
      <c r="H17" s="1223"/>
      <c r="I17" s="1223"/>
      <c r="J17" s="1223"/>
      <c r="K17" s="1223"/>
      <c r="L17" s="157"/>
      <c r="M17" s="256"/>
      <c r="N17" s="899"/>
      <c r="O17" s="1219"/>
      <c r="P17" s="1219"/>
      <c r="Q17" s="1219"/>
      <c r="R17" s="1219"/>
      <c r="S17" s="1219"/>
      <c r="T17" s="900"/>
      <c r="U17" s="256"/>
    </row>
    <row r="18" spans="1:21" s="180" customFormat="1" ht="30" customHeight="1" x14ac:dyDescent="0.25">
      <c r="A18" s="169">
        <v>1</v>
      </c>
      <c r="B18" s="273"/>
      <c r="C18" s="173">
        <v>4</v>
      </c>
      <c r="D18" s="173" t="str">
        <f>IF(VLOOKUP(CONCATENATE($C$3,"-",C18),Languages!$A:$D,1,TRUE)=CONCATENATE($C$3,"-",C18),VLOOKUP(CONCATENATE($C$3,"-",C18),Languages!$A:$D,Summary!$C$7,TRUE),NA())</f>
        <v>Kyberturvallisuus osana toiminnan jatkuvuutta</v>
      </c>
      <c r="E18" s="173"/>
      <c r="F18" s="296"/>
      <c r="G18" s="296" t="s">
        <v>16</v>
      </c>
      <c r="H18" s="297"/>
      <c r="I18" s="297"/>
      <c r="J18" s="297"/>
      <c r="K18" s="297"/>
      <c r="L18" s="157"/>
      <c r="M18" s="256"/>
      <c r="N18" s="899"/>
      <c r="O18" s="1219"/>
      <c r="P18" s="1219"/>
      <c r="Q18" s="1219"/>
      <c r="R18" s="1219"/>
      <c r="S18" s="1219"/>
      <c r="T18" s="900"/>
      <c r="U18" s="256"/>
    </row>
    <row r="19" spans="1:21" s="300" customFormat="1" ht="44.55" customHeight="1" x14ac:dyDescent="0.25">
      <c r="A19" s="169">
        <v>1</v>
      </c>
      <c r="B19" s="713"/>
      <c r="C19" s="1223" t="str">
        <f>IF(VLOOKUP(CONCATENATE($C$3,"-",$C18,"-0"),Languages!$A:$D,1,TRUE)=CONCATENATE($C$3,"-",$C18,"-0"),VLOOKUP(CONCATENATE($C$3,"-",$C18,"-0"),Languages!$A:$D,Summary!$C$7,TRUE),NA())</f>
        <v>Yleisillä hallintatoimilla arvioidaan sitä, kuinka syvällisesti osion kyberturvallisuuskäytännöt ovat juurtuneet osaksi organisaation toimintaa. Mitä syvemmin käytännöt ovat osa organisaation päivittäistä tekemistä sitä todennäköisempää on, että organisaatio noudattaa niitä myös kriisitilanteissa ja ajan kuluessa. Toisin sanoen, toiminta säilyy säännöllisenä, toistettavana ja korkealaatuisena.</v>
      </c>
      <c r="D19" s="1223"/>
      <c r="E19" s="1223"/>
      <c r="F19" s="1223"/>
      <c r="G19" s="1223"/>
      <c r="H19" s="1223"/>
      <c r="I19" s="1223"/>
      <c r="J19" s="1223"/>
      <c r="K19" s="1223"/>
      <c r="L19" s="157"/>
      <c r="M19" s="256"/>
      <c r="N19" s="899"/>
      <c r="O19" s="1219"/>
      <c r="P19" s="1219"/>
      <c r="Q19" s="1219"/>
      <c r="R19" s="1219"/>
      <c r="S19" s="1219"/>
      <c r="T19" s="900"/>
      <c r="U19" s="256"/>
    </row>
    <row r="20" spans="1:21" s="180" customFormat="1" ht="30" customHeight="1" x14ac:dyDescent="0.25">
      <c r="A20" s="169"/>
      <c r="B20" s="273"/>
      <c r="C20" s="173">
        <v>5</v>
      </c>
      <c r="D20" s="173" t="str">
        <f>IF(VLOOKUP(CONCATENATE($C$3,"-",C20),Languages!$A:$D,1,TRUE)=CONCATENATE($C$3,"-",C20),VLOOKUP(CONCATENATE($C$3,"-",C20),Languages!$A:$D,Summary!$C$7,TRUE),NA())</f>
        <v>Yleisiä hallintatoimia</v>
      </c>
      <c r="E20" s="173"/>
      <c r="F20" s="296"/>
      <c r="G20" s="296" t="s">
        <v>16</v>
      </c>
      <c r="H20" s="297"/>
      <c r="I20" s="297"/>
      <c r="J20" s="297"/>
      <c r="K20" s="297"/>
      <c r="L20" s="157"/>
      <c r="M20" s="256"/>
      <c r="N20" s="899"/>
      <c r="O20" s="1219"/>
      <c r="P20" s="1219"/>
      <c r="Q20" s="1219"/>
      <c r="R20" s="1219"/>
      <c r="S20" s="1219"/>
      <c r="T20" s="900"/>
      <c r="U20" s="256"/>
    </row>
    <row r="21" spans="1:21" s="282" customFormat="1" ht="48.6" customHeight="1" x14ac:dyDescent="0.2">
      <c r="A21" s="309"/>
      <c r="B21" s="310"/>
      <c r="C21" s="1223" t="str">
        <f>IF(VLOOKUP(CONCATENATE($C$3,"-",$C20,"-0"),Languages!$A:$D,1,TRUE)=CONCATENATE($C$3,"-",$C20,"-0"),VLOOKUP(CONCATENATE($C$3,"-",$C20,"-0"),Languages!$A:$D,Summary!$C$7,TRUE),NA())</f>
        <v>Yleisillä hallintatoimilla arvioidaan sitä, kuinka syvällisesti osion kyberturvallisuuskäytännöt ovat juurtuneet osaksi organisaation toimintaa. Mitä syvemmin käytännöt ovat osa organisaation päivittäistä tekemistä sitä todennäköisempää on, että organisaatio noudattaa niitä myös kriisitilanteissa ja ajan kuluessa. Toisin sanoen, toiminta säilyy säännöllisenä, toistettavana ja korkealaatuisena.</v>
      </c>
      <c r="D21" s="1223"/>
      <c r="E21" s="1223"/>
      <c r="F21" s="1223"/>
      <c r="G21" s="1223"/>
      <c r="H21" s="1223"/>
      <c r="I21" s="1223"/>
      <c r="J21" s="1223"/>
      <c r="K21" s="1223"/>
      <c r="L21" s="157"/>
      <c r="M21" s="256"/>
      <c r="N21" s="901"/>
      <c r="O21" s="1220"/>
      <c r="P21" s="1220"/>
      <c r="Q21" s="1220"/>
      <c r="R21" s="1220"/>
      <c r="S21" s="1220"/>
      <c r="T21" s="902"/>
      <c r="U21" s="256"/>
    </row>
    <row r="22" spans="1:21" s="282" customFormat="1" ht="18" customHeight="1" x14ac:dyDescent="0.25">
      <c r="A22" s="309"/>
      <c r="B22" s="734"/>
      <c r="C22" s="734"/>
      <c r="D22" s="734"/>
      <c r="E22" s="734"/>
      <c r="F22" s="734"/>
      <c r="G22" s="734"/>
      <c r="H22" s="734"/>
      <c r="I22" s="734"/>
      <c r="J22" s="734"/>
      <c r="K22" s="734"/>
      <c r="L22" s="735"/>
      <c r="M22" s="138"/>
      <c r="N22" s="138"/>
      <c r="O22" s="910"/>
      <c r="P22" s="254"/>
      <c r="Q22" s="855"/>
      <c r="R22" s="254"/>
      <c r="S22" s="254"/>
      <c r="T22" s="138"/>
      <c r="U22" s="138"/>
    </row>
    <row r="23" spans="1:21" s="282" customFormat="1" ht="19.95" customHeight="1" x14ac:dyDescent="0.2">
      <c r="A23" s="309"/>
      <c r="B23" s="723"/>
      <c r="C23" s="721"/>
      <c r="D23" s="721"/>
      <c r="E23" s="721"/>
      <c r="F23" s="721"/>
      <c r="G23" s="721"/>
      <c r="H23" s="721"/>
      <c r="I23" s="721"/>
      <c r="J23" s="721"/>
      <c r="K23" s="721"/>
      <c r="L23" s="722"/>
      <c r="M23" s="256"/>
      <c r="N23" s="504" t="str">
        <f>IF(VLOOKUP("KM116",Languages!$A:$D,1,TRUE)="KM116",VLOOKUP("KM116",Languages!$A:$D,Summary!$C$7,TRUE),NA())</f>
        <v>EDELLINEN ARVIOINTI</v>
      </c>
      <c r="O23" s="442"/>
      <c r="P23" s="259"/>
      <c r="Q23" s="856" t="str">
        <f>IF(VLOOKUP("KM110",Languages!$A:$D,1,TRUE)="KM110",VLOOKUP("KM110",Languages!$A:$D,Summary!$C$7,TRUE),NA())</f>
        <v>Päivämäärä</v>
      </c>
      <c r="R23" s="259"/>
      <c r="S23" s="259"/>
      <c r="T23" s="150"/>
      <c r="U23" s="256"/>
    </row>
    <row r="24" spans="1:21" s="180" customFormat="1" ht="19.95" customHeight="1" x14ac:dyDescent="0.25">
      <c r="A24" s="169"/>
      <c r="B24" s="273"/>
      <c r="C24" s="173">
        <v>1</v>
      </c>
      <c r="D24" s="173" t="str">
        <f>IF(VLOOKUP(CONCATENATE($C$3,"-",C24),Languages!$A:$D,1,TRUE)=CONCATENATE($C$3,"-",C24),VLOOKUP(CONCATENATE($C$3,"-",C24),Languages!$A:$D,Summary!$C$7,TRUE),NA())</f>
        <v>Tapahtumien havainnointi</v>
      </c>
      <c r="E24" s="173"/>
      <c r="F24" s="275"/>
      <c r="G24" s="275"/>
      <c r="H24" s="276"/>
      <c r="I24" s="276"/>
      <c r="J24" s="276"/>
      <c r="K24" s="276"/>
      <c r="L24" s="157"/>
      <c r="M24" s="309"/>
      <c r="N24" s="310"/>
      <c r="O24" s="443"/>
      <c r="P24" s="438"/>
      <c r="Q24" s="781"/>
      <c r="R24" s="854"/>
      <c r="S24" s="854"/>
      <c r="T24" s="281"/>
      <c r="U24" s="309"/>
    </row>
    <row r="25" spans="1:21" s="289" customFormat="1" ht="19.95" customHeight="1" x14ac:dyDescent="0.2">
      <c r="A25" s="308"/>
      <c r="B25" s="283"/>
      <c r="C25" s="284" t="str">
        <f>IF(VLOOKUP("GEN-LEVEL",Languages!$A:$D,1,TRUE)="GEN-LEVEL",VLOOKUP("GEN-LEVEL",Languages!$A:$D,Summary!$C$7,TRUE),NA())</f>
        <v>Taso</v>
      </c>
      <c r="D25" s="284"/>
      <c r="E25" s="285" t="str">
        <f>IF(VLOOKUP("GEN-PRACTICE",Languages!$A:$D,1,TRUE)="GEN-PRACTICE",VLOOKUP("GEN-PRACTICE",Languages!$A:$D,Summary!$C$7,TRUE),NA())</f>
        <v>Käytäntö</v>
      </c>
      <c r="F25" s="286"/>
      <c r="G25" s="1003" t="str">
        <f>IF(VLOOKUP("GEN-ANSWER",Languages!$A:$D,1,TRUE)="GEN-ANSWER",VLOOKUP("GEN-ANSWER",Languages!$A:$D,Summary!$C$7,TRUE),NA())</f>
        <v>Vastaus</v>
      </c>
      <c r="H25" s="1004" t="str">
        <f>IF(VLOOKUP("KM112",Languages!$A:$D,1,TRUE)="KM112",VLOOKUP("KM112",Languages!$A:$D,Summary!$C$7,TRUE),NA())</f>
        <v>Kommentit</v>
      </c>
      <c r="I25" s="1004" t="str">
        <f>IF(VLOOKUP("KM113",Languages!$A:$D,1,TRUE)="KM113",VLOOKUP("KM113",Languages!$A:$D,Summary!$C$7,TRUE),NA())</f>
        <v>Sisäinen viittaus</v>
      </c>
      <c r="J25" s="1004" t="str">
        <f>IF(VLOOKUP("KM114",Languages!$A:$D,1,TRUE)="KM114",VLOOKUP("KM114",Languages!$A:$D,Summary!$C$7,TRUE),NA())</f>
        <v>Ulkoinen viittaus</v>
      </c>
      <c r="K25" s="1004" t="str">
        <f>IF(VLOOKUP("KM115",Languages!$A:$D,1,TRUE)="KM115",VLOOKUP("KM115",Languages!$A:$D,Summary!$C$7,TRUE),NA())</f>
        <v>Kehityskohde</v>
      </c>
      <c r="L25" s="287"/>
      <c r="M25" s="288"/>
      <c r="N25" s="283"/>
      <c r="O25" s="503" t="str">
        <f>IF(VLOOKUP("GEN-ANSWER",Languages!$A:$D,1,TRUE)="GEN-ANSWER",VLOOKUP("GEN-ANSWER",Languages!$A:$D,Summary!$C$7,TRUE),NA())</f>
        <v>Vastaus</v>
      </c>
      <c r="P25" s="503" t="str">
        <f>IF(VLOOKUP("KM112",Languages!$A:$D,1,TRUE)="KM112",VLOOKUP("KM112",Languages!$A:$D,Summary!$C$7,TRUE),NA())</f>
        <v>Kommentit</v>
      </c>
      <c r="Q25" s="503" t="str">
        <f>IF(VLOOKUP("KM113",Languages!$A:$D,1,TRUE)="KM113",VLOOKUP("KM113",Languages!$A:$D,Summary!$C$7,TRUE),NA())</f>
        <v>Sisäinen viittaus</v>
      </c>
      <c r="R25" s="503" t="str">
        <f>IF(VLOOKUP("KM114",Languages!$A:$D,1,TRUE)="KM114",VLOOKUP("KM114",Languages!$A:$D,Summary!$C$7,TRUE),NA())</f>
        <v>Ulkoinen viittaus</v>
      </c>
      <c r="S25" s="503" t="str">
        <f>IF(VLOOKUP("KM115",Languages!$A:$D,1,TRUE)="KM115",VLOOKUP("KM115",Languages!$A:$D,Summary!$C$7,TRUE),NA())</f>
        <v>Kehityskohde</v>
      </c>
      <c r="T25" s="287"/>
      <c r="U25" s="288"/>
    </row>
    <row r="26" spans="1:21" s="293" customFormat="1" ht="45" customHeight="1" x14ac:dyDescent="0.2">
      <c r="A26" s="279"/>
      <c r="B26" s="1204"/>
      <c r="C26" s="566">
        <v>1</v>
      </c>
      <c r="D26" s="400" t="s">
        <v>5</v>
      </c>
      <c r="E26" s="506" t="str">
        <f>IF(VLOOKUP(CONCATENATE($C$3,"-",$D26),Languages!$A:$D,1,TRUE)=CONCATENATE($C$3,"-",$D26),VLOOKUP(CONCATENATE($C$3,"-",$D26),Languages!$A:$D,Summary!$C$7,TRUE),NA())</f>
        <v>Havaitut kybertapahtumat raportoidaan ennalta määritellyille henkilöille tai roolien haltijoille ja niistä pidetään lokia. Tasolla 1 tämän ei tarvitse olla systemaattista ja säännöllistä.</v>
      </c>
      <c r="F26" s="401">
        <f t="shared" ref="F26:F31" si="0">IFERROR(INT(LEFT($G26,1)),0)</f>
        <v>0</v>
      </c>
      <c r="G26" s="496"/>
      <c r="H26" s="526"/>
      <c r="I26" s="526"/>
      <c r="J26" s="526"/>
      <c r="K26" s="527"/>
      <c r="L26" s="157"/>
      <c r="M26" s="256"/>
      <c r="N26" s="152"/>
      <c r="O26" s="985" t="str">
        <f>VLOOKUP(VLOOKUP($C$3&amp;"-"&amp;$D26,Import!$C:$D,2,FALSE),Parameters!$C$18:$F$22,Summary!$C$7,FALSE)</f>
        <v xml:space="preserve">0 - Vastaus puuttuu </v>
      </c>
      <c r="P26" s="1010" t="str">
        <f>IF(VLOOKUP($C$3&amp;"-"&amp;$D26,Import!$C:$H,3,FALSE)=0,"",VLOOKUP($C$3&amp;"-"&amp;$D26,Import!$C:$H,3,FALSE))</f>
        <v/>
      </c>
      <c r="Q26" s="1010" t="str">
        <f>IF(VLOOKUP($C$3&amp;"-"&amp;$D26,Import!$C:$H,4,FALSE)=0,"",VLOOKUP($C$3&amp;"-"&amp;$D26,Import!$C:$H,4,FALSE))</f>
        <v/>
      </c>
      <c r="R26" s="1010" t="str">
        <f>IF(VLOOKUP($C$3&amp;"-"&amp;$D26,Import!$C:$H,5,FALSE)=0,"",VLOOKUP($C$3&amp;"-"&amp;$D26,Import!$C:$H,5,FALSE))</f>
        <v/>
      </c>
      <c r="S26" s="1011" t="str">
        <f>IF(VLOOKUP($C$3&amp;"-"&amp;$D26,Import!$C:$H,6,FALSE)=0,"",VLOOKUP($C$3&amp;"-"&amp;$D26,Import!$C:$H,6,FALSE))</f>
        <v/>
      </c>
      <c r="T26" s="157"/>
      <c r="U26" s="256"/>
    </row>
    <row r="27" spans="1:21" s="293" customFormat="1" ht="60.6" customHeight="1" x14ac:dyDescent="0.2">
      <c r="A27" s="279"/>
      <c r="B27" s="1204"/>
      <c r="C27" s="1231">
        <v>2</v>
      </c>
      <c r="D27" s="397" t="s">
        <v>7</v>
      </c>
      <c r="E27" s="507" t="str">
        <f>IF(VLOOKUP(CONCATENATE($C$3,"-",$D27),Languages!$A:$D,1,TRUE)=CONCATENATE($C$3,"-",$D27),VLOOKUP(CONCATENATE($C$3,"-",$D27),Languages!$A:$D,Summary!$C$7,TRUE),NA())</f>
        <v>Kybertapahtumista ja niiden havaitsemisesta on laadittu kriteeristö (johon kuuluu esimerkiksi määritelmä tilanteista, jotka täyttävät kybertapahtuman määritelmän tai määritelmä siitä, missä kybertapahtumia voidaan havaita).</v>
      </c>
      <c r="F27" s="396">
        <f t="shared" si="0"/>
        <v>0</v>
      </c>
      <c r="G27" s="485"/>
      <c r="H27" s="486"/>
      <c r="I27" s="486"/>
      <c r="J27" s="486"/>
      <c r="K27" s="487"/>
      <c r="L27" s="157"/>
      <c r="M27" s="256"/>
      <c r="N27" s="152"/>
      <c r="O27" s="988" t="str">
        <f>VLOOKUP(VLOOKUP($C$3&amp;"-"&amp;$D27,Import!$C:$D,2,FALSE),Parameters!$C$18:$F$22,Summary!$C$7,FALSE)</f>
        <v xml:space="preserve">0 - Vastaus puuttuu </v>
      </c>
      <c r="P27" s="1032" t="str">
        <f>IF(VLOOKUP($C$3&amp;"-"&amp;$D27,Import!$C:$H,3,FALSE)=0,"",VLOOKUP($C$3&amp;"-"&amp;$D27,Import!$C:$H,3,FALSE))</f>
        <v/>
      </c>
      <c r="Q27" s="1032" t="str">
        <f>IF(VLOOKUP($C$3&amp;"-"&amp;$D27,Import!$C:$H,4,FALSE)=0,"",VLOOKUP($C$3&amp;"-"&amp;$D27,Import!$C:$H,4,FALSE))</f>
        <v/>
      </c>
      <c r="R27" s="1032" t="str">
        <f>IF(VLOOKUP($C$3&amp;"-"&amp;$D27,Import!$C:$H,5,FALSE)=0,"",VLOOKUP($C$3&amp;"-"&amp;$D27,Import!$C:$H,5,FALSE))</f>
        <v/>
      </c>
      <c r="S27" s="1033" t="str">
        <f>IF(VLOOKUP($C$3&amp;"-"&amp;$D27,Import!$C:$H,6,FALSE)=0,"",VLOOKUP($C$3&amp;"-"&amp;$D27,Import!$C:$H,6,FALSE))</f>
        <v/>
      </c>
      <c r="T27" s="157"/>
      <c r="U27" s="256"/>
    </row>
    <row r="28" spans="1:21" s="293" customFormat="1" ht="34.950000000000003" customHeight="1" x14ac:dyDescent="0.2">
      <c r="A28" s="279"/>
      <c r="B28" s="1204"/>
      <c r="C28" s="1233"/>
      <c r="D28" s="418" t="s">
        <v>8</v>
      </c>
      <c r="E28" s="514" t="str">
        <f>IF(VLOOKUP(CONCATENATE($C$3,"-",$D28),Languages!$A:$D,1,TRUE)=CONCATENATE($C$3,"-",$D28),VLOOKUP(CONCATENATE($C$3,"-",$D28),Languages!$A:$D,Summary!$C$7,TRUE),NA())</f>
        <v>Kybertapahtumat kirjataan lokiin laaditun kriteeristön mukaisesti.</v>
      </c>
      <c r="F28" s="403">
        <f t="shared" si="0"/>
        <v>0</v>
      </c>
      <c r="G28" s="489"/>
      <c r="H28" s="481"/>
      <c r="I28" s="481"/>
      <c r="J28" s="481"/>
      <c r="K28" s="490"/>
      <c r="L28" s="157"/>
      <c r="M28" s="256"/>
      <c r="N28" s="152"/>
      <c r="O28" s="996" t="str">
        <f>VLOOKUP(VLOOKUP($C$3&amp;"-"&amp;$D28,Import!$C:$D,2,FALSE),Parameters!$C$18:$F$22,Summary!$C$7,FALSE)</f>
        <v xml:space="preserve">0 - Vastaus puuttuu </v>
      </c>
      <c r="P28" s="1034" t="str">
        <f>IF(VLOOKUP($C$3&amp;"-"&amp;$D28,Import!$C:$H,3,FALSE)=0,"",VLOOKUP($C$3&amp;"-"&amp;$D28,Import!$C:$H,3,FALSE))</f>
        <v/>
      </c>
      <c r="Q28" s="1034" t="str">
        <f>IF(VLOOKUP($C$3&amp;"-"&amp;$D28,Import!$C:$H,4,FALSE)=0,"",VLOOKUP($C$3&amp;"-"&amp;$D28,Import!$C:$H,4,FALSE))</f>
        <v/>
      </c>
      <c r="R28" s="1034" t="str">
        <f>IF(VLOOKUP($C$3&amp;"-"&amp;$D28,Import!$C:$H,5,FALSE)=0,"",VLOOKUP($C$3&amp;"-"&amp;$D28,Import!$C:$H,5,FALSE))</f>
        <v/>
      </c>
      <c r="S28" s="1035" t="str">
        <f>IF(VLOOKUP($C$3&amp;"-"&amp;$D28,Import!$C:$H,6,FALSE)=0,"",VLOOKUP($C$3&amp;"-"&amp;$D28,Import!$C:$H,6,FALSE))</f>
        <v/>
      </c>
      <c r="T28" s="157"/>
      <c r="U28" s="256"/>
    </row>
    <row r="29" spans="1:21" s="293" customFormat="1" ht="57" customHeight="1" x14ac:dyDescent="0.2">
      <c r="A29" s="279"/>
      <c r="B29" s="1204"/>
      <c r="C29" s="1234">
        <v>3</v>
      </c>
      <c r="D29" s="397" t="s">
        <v>9</v>
      </c>
      <c r="E29" s="507" t="str">
        <f>IF(VLOOKUP(CONCATENATE($C$3,"-",$D29),Languages!$A:$D,1,TRUE)=CONCATENATE($C$3,"-",$D29),VLOOKUP(CONCATENATE($C$3,"-",$D29),Languages!$A:$D,Summary!$C$7,TRUE),NA())</f>
        <v>Tapahtumien tietoja verrataan keskenään, jotta niistä tunnistettaisiin mahdollisia säännönmukaisuuksia, trendejä tai muita yhteisiä piirteitä, joilla voitaisiin tukea kyberhäiriöiden analysointityötä.</v>
      </c>
      <c r="F29" s="396">
        <f t="shared" si="0"/>
        <v>0</v>
      </c>
      <c r="G29" s="485"/>
      <c r="H29" s="486"/>
      <c r="I29" s="486"/>
      <c r="J29" s="486"/>
      <c r="K29" s="487"/>
      <c r="L29" s="157"/>
      <c r="M29" s="256"/>
      <c r="N29" s="152"/>
      <c r="O29" s="988" t="str">
        <f>VLOOKUP(VLOOKUP($C$3&amp;"-"&amp;$D29,Import!$C:$D,2,FALSE),Parameters!$C$18:$F$22,Summary!$C$7,FALSE)</f>
        <v xml:space="preserve">0 - Vastaus puuttuu </v>
      </c>
      <c r="P29" s="1032" t="str">
        <f>IF(VLOOKUP($C$3&amp;"-"&amp;$D29,Import!$C:$H,3,FALSE)=0,"",VLOOKUP($C$3&amp;"-"&amp;$D29,Import!$C:$H,3,FALSE))</f>
        <v/>
      </c>
      <c r="Q29" s="1032" t="str">
        <f>IF(VLOOKUP($C$3&amp;"-"&amp;$D29,Import!$C:$H,4,FALSE)=0,"",VLOOKUP($C$3&amp;"-"&amp;$D29,Import!$C:$H,4,FALSE))</f>
        <v/>
      </c>
      <c r="R29" s="1032" t="str">
        <f>IF(VLOOKUP($C$3&amp;"-"&amp;$D29,Import!$C:$H,5,FALSE)=0,"",VLOOKUP($C$3&amp;"-"&amp;$D29,Import!$C:$H,5,FALSE))</f>
        <v/>
      </c>
      <c r="S29" s="1033" t="str">
        <f>IF(VLOOKUP($C$3&amp;"-"&amp;$D29,Import!$C:$H,6,FALSE)=0,"",VLOOKUP($C$3&amp;"-"&amp;$D29,Import!$C:$H,6,FALSE))</f>
        <v/>
      </c>
      <c r="T29" s="157"/>
      <c r="U29" s="256"/>
    </row>
    <row r="30" spans="1:21" s="293" customFormat="1" ht="43.2" customHeight="1" x14ac:dyDescent="0.2">
      <c r="A30" s="279"/>
      <c r="B30" s="1204"/>
      <c r="C30" s="1235"/>
      <c r="D30" s="290" t="s">
        <v>10</v>
      </c>
      <c r="E30" s="508" t="str">
        <f>IF(VLOOKUP(CONCATENATE($C$3,"-",$D30),Languages!$A:$D,1,TRUE)=CONCATENATE($C$3,"-",$D30),VLOOKUP(CONCATENATE($C$3,"-",$D30),Languages!$A:$D,Summary!$C$7,TRUE),NA())</f>
        <v>Kybertapahtumien havaitsemistoimia ohjataan tunnistettujen riskien [kts. RISK-2a] ja organisaation uhkaprofiilin perusteella [kts. THREAT-2d].</v>
      </c>
      <c r="F30" s="291">
        <f t="shared" si="0"/>
        <v>0</v>
      </c>
      <c r="G30" s="311"/>
      <c r="H30" s="480"/>
      <c r="I30" s="480"/>
      <c r="J30" s="480"/>
      <c r="K30" s="488"/>
      <c r="L30" s="157"/>
      <c r="M30" s="256"/>
      <c r="N30" s="152"/>
      <c r="O30" s="991" t="str">
        <f>VLOOKUP(VLOOKUP($C$3&amp;"-"&amp;$D30,Import!$C:$D,2,FALSE),Parameters!$C$18:$F$22,Summary!$C$7,FALSE)</f>
        <v xml:space="preserve">0 - Vastaus puuttuu </v>
      </c>
      <c r="P30" s="1015" t="str">
        <f>IF(VLOOKUP($C$3&amp;"-"&amp;$D30,Import!$C:$H,3,FALSE)=0,"",VLOOKUP($C$3&amp;"-"&amp;$D30,Import!$C:$H,3,FALSE))</f>
        <v/>
      </c>
      <c r="Q30" s="1015" t="str">
        <f>IF(VLOOKUP($C$3&amp;"-"&amp;$D30,Import!$C:$H,4,FALSE)=0,"",VLOOKUP($C$3&amp;"-"&amp;$D30,Import!$C:$H,4,FALSE))</f>
        <v/>
      </c>
      <c r="R30" s="1015" t="str">
        <f>IF(VLOOKUP($C$3&amp;"-"&amp;$D30,Import!$C:$H,5,FALSE)=0,"",VLOOKUP($C$3&amp;"-"&amp;$D30,Import!$C:$H,5,FALSE))</f>
        <v/>
      </c>
      <c r="S30" s="1016" t="str">
        <f>IF(VLOOKUP($C$3&amp;"-"&amp;$D30,Import!$C:$H,6,FALSE)=0,"",VLOOKUP($C$3&amp;"-"&amp;$D30,Import!$C:$H,6,FALSE))</f>
        <v/>
      </c>
      <c r="T30" s="157"/>
      <c r="U30" s="256"/>
    </row>
    <row r="31" spans="1:21" s="293" customFormat="1" ht="34.950000000000003" customHeight="1" x14ac:dyDescent="0.2">
      <c r="A31" s="279"/>
      <c r="B31" s="1204"/>
      <c r="C31" s="1236"/>
      <c r="D31" s="418" t="s">
        <v>11</v>
      </c>
      <c r="E31" s="512" t="str">
        <f>IF(VLOOKUP(CONCATENATE($C$3,"-",$D31),Languages!$A:$D,1,TRUE)=CONCATENATE($C$3,"-",$D31),VLOOKUP(CONCATENATE($C$3,"-",$D31),Languages!$A:$D,Summary!$C$7,TRUE),NA())</f>
        <v>Toiminnon tilannekuvaa seurataan siten, että se tukee mahdollisten kybertapahtumien havaitsemista.</v>
      </c>
      <c r="F31" s="403">
        <f t="shared" si="0"/>
        <v>0</v>
      </c>
      <c r="G31" s="489"/>
      <c r="H31" s="481"/>
      <c r="I31" s="481"/>
      <c r="J31" s="481"/>
      <c r="K31" s="490"/>
      <c r="L31" s="157"/>
      <c r="M31" s="256"/>
      <c r="N31" s="152"/>
      <c r="O31" s="996" t="str">
        <f>VLOOKUP(VLOOKUP($C$3&amp;"-"&amp;$D31,Import!$C:$D,2,FALSE),Parameters!$C$18:$F$22,Summary!$C$7,FALSE)</f>
        <v xml:space="preserve">0 - Vastaus puuttuu </v>
      </c>
      <c r="P31" s="1034" t="str">
        <f>IF(VLOOKUP($C$3&amp;"-"&amp;$D31,Import!$C:$H,3,FALSE)=0,"",VLOOKUP($C$3&amp;"-"&amp;$D31,Import!$C:$H,3,FALSE))</f>
        <v/>
      </c>
      <c r="Q31" s="1034" t="str">
        <f>IF(VLOOKUP($C$3&amp;"-"&amp;$D31,Import!$C:$H,4,FALSE)=0,"",VLOOKUP($C$3&amp;"-"&amp;$D31,Import!$C:$H,4,FALSE))</f>
        <v/>
      </c>
      <c r="R31" s="1034" t="str">
        <f>IF(VLOOKUP($C$3&amp;"-"&amp;$D31,Import!$C:$H,5,FALSE)=0,"",VLOOKUP($C$3&amp;"-"&amp;$D31,Import!$C:$H,5,FALSE))</f>
        <v/>
      </c>
      <c r="S31" s="1035" t="str">
        <f>IF(VLOOKUP($C$3&amp;"-"&amp;$D31,Import!$C:$H,6,FALSE)=0,"",VLOOKUP($C$3&amp;"-"&amp;$D31,Import!$C:$H,6,FALSE))</f>
        <v/>
      </c>
      <c r="T31" s="157"/>
      <c r="U31" s="256"/>
    </row>
    <row r="32" spans="1:21" s="180" customFormat="1" ht="30" customHeight="1" x14ac:dyDescent="0.25">
      <c r="A32" s="169"/>
      <c r="B32" s="273"/>
      <c r="C32" s="173">
        <v>2</v>
      </c>
      <c r="D32" s="173" t="str">
        <f>IF(VLOOKUP(CONCATENATE($C$3,"-",C32),Languages!$A:$D,1,TRUE)=CONCATENATE($C$3,"-",C32),VLOOKUP(CONCATENATE($C$3,"-",C32),Languages!$A:$D,Summary!$C$7,TRUE),NA())</f>
        <v>Tapahtumien analysointi ja häiriötilanteiden määrittäminen</v>
      </c>
      <c r="E32" s="173"/>
      <c r="F32" s="296"/>
      <c r="G32" s="1006"/>
      <c r="H32" s="1030"/>
      <c r="I32" s="1030"/>
      <c r="J32" s="1030"/>
      <c r="K32" s="1030"/>
      <c r="L32" s="157"/>
      <c r="M32" s="256"/>
      <c r="N32" s="152"/>
      <c r="O32" s="296"/>
      <c r="P32" s="297"/>
      <c r="Q32" s="297"/>
      <c r="R32" s="297"/>
      <c r="S32" s="297"/>
      <c r="T32" s="157"/>
      <c r="U32" s="256"/>
    </row>
    <row r="33" spans="1:21" s="289" customFormat="1" ht="19.95" customHeight="1" x14ac:dyDescent="0.2">
      <c r="A33" s="308"/>
      <c r="B33" s="283"/>
      <c r="C33" s="284" t="str">
        <f>IF(VLOOKUP("GEN-LEVEL",Languages!$A:$D,1,TRUE)="GEN-LEVEL",VLOOKUP("GEN-LEVEL",Languages!$A:$D,Summary!$C$7,TRUE),NA())</f>
        <v>Taso</v>
      </c>
      <c r="D33" s="284"/>
      <c r="E33" s="285" t="str">
        <f>IF(VLOOKUP("GEN-PRACTICE",Languages!$A:$D,1,TRUE)="GEN-PRACTICE",VLOOKUP("GEN-PRACTICE",Languages!$A:$D,Summary!$C$7,TRUE),NA())</f>
        <v>Käytäntö</v>
      </c>
      <c r="F33" s="286"/>
      <c r="G33" s="1003" t="str">
        <f>IF(VLOOKUP("GEN-ANSWER",Languages!$A:$D,1,TRUE)="GEN-ANSWER",VLOOKUP("GEN-ANSWER",Languages!$A:$D,Summary!$C$7,TRUE),NA())</f>
        <v>Vastaus</v>
      </c>
      <c r="H33" s="1004" t="str">
        <f>IF(VLOOKUP("KM112",Languages!$A:$D,1,TRUE)="KM112",VLOOKUP("KM112",Languages!$A:$D,Summary!$C$7,TRUE),NA())</f>
        <v>Kommentit</v>
      </c>
      <c r="I33" s="1004" t="str">
        <f>IF(VLOOKUP("KM113",Languages!$A:$D,1,TRUE)="KM113",VLOOKUP("KM113",Languages!$A:$D,Summary!$C$7,TRUE),NA())</f>
        <v>Sisäinen viittaus</v>
      </c>
      <c r="J33" s="1004" t="str">
        <f>IF(VLOOKUP("KM114",Languages!$A:$D,1,TRUE)="KM114",VLOOKUP("KM114",Languages!$A:$D,Summary!$C$7,TRUE),NA())</f>
        <v>Ulkoinen viittaus</v>
      </c>
      <c r="K33" s="1004" t="str">
        <f>IF(VLOOKUP("KM115",Languages!$A:$D,1,TRUE)="KM115",VLOOKUP("KM115",Languages!$A:$D,Summary!$C$7,TRUE),NA())</f>
        <v>Kehityskohde</v>
      </c>
      <c r="L33" s="287"/>
      <c r="M33" s="288"/>
      <c r="N33" s="283"/>
      <c r="O33" s="503" t="str">
        <f>IF(VLOOKUP("GEN-ANSWER",Languages!$A:$D,1,TRUE)="GEN-ANSWER",VLOOKUP("GEN-ANSWER",Languages!$A:$D,Summary!$C$7,TRUE),NA())</f>
        <v>Vastaus</v>
      </c>
      <c r="P33" s="503" t="str">
        <f>IF(VLOOKUP("KM112",Languages!$A:$D,1,TRUE)="KM112",VLOOKUP("KM112",Languages!$A:$D,Summary!$C$7,TRUE),NA())</f>
        <v>Kommentit</v>
      </c>
      <c r="Q33" s="503" t="str">
        <f>IF(VLOOKUP("KM113",Languages!$A:$D,1,TRUE)="KM113",VLOOKUP("KM113",Languages!$A:$D,Summary!$C$7,TRUE),NA())</f>
        <v>Sisäinen viittaus</v>
      </c>
      <c r="R33" s="503" t="str">
        <f>IF(VLOOKUP("KM114",Languages!$A:$D,1,TRUE)="KM114",VLOOKUP("KM114",Languages!$A:$D,Summary!$C$7,TRUE),NA())</f>
        <v>Ulkoinen viittaus</v>
      </c>
      <c r="S33" s="503" t="str">
        <f>IF(VLOOKUP("KM115",Languages!$A:$D,1,TRUE)="KM115",VLOOKUP("KM115",Languages!$A:$D,Summary!$C$7,TRUE),NA())</f>
        <v>Kehityskohde</v>
      </c>
      <c r="T33" s="287"/>
      <c r="U33" s="288"/>
    </row>
    <row r="34" spans="1:21" s="300" customFormat="1" ht="34.950000000000003" customHeight="1" x14ac:dyDescent="0.2">
      <c r="A34" s="309"/>
      <c r="B34" s="1213"/>
      <c r="C34" s="1229">
        <v>1</v>
      </c>
      <c r="D34" s="406" t="s">
        <v>17</v>
      </c>
      <c r="E34" s="507" t="str">
        <f>IF(VLOOKUP(CONCATENATE($C$3,"-",$D34),Languages!$A:$D,1,TRUE)=CONCATENATE($C$3,"-",$D34),VLOOKUP(CONCATENATE($C$3,"-",$D34),Languages!$A:$D,Summary!$C$7,TRUE),NA())</f>
        <v>Kyberhäiriöiden määrittämisestä on laadittu kriteeristö. Tasolla 1 tämän ei tarvitse olla systemaattista ja säännöllistä.</v>
      </c>
      <c r="F34" s="396">
        <f t="shared" ref="F34:F42" si="1">IFERROR(INT(LEFT($G34,1)),0)</f>
        <v>0</v>
      </c>
      <c r="G34" s="485"/>
      <c r="H34" s="486"/>
      <c r="I34" s="486"/>
      <c r="J34" s="486"/>
      <c r="K34" s="487"/>
      <c r="L34" s="157"/>
      <c r="M34" s="256"/>
      <c r="N34" s="152"/>
      <c r="O34" s="988" t="str">
        <f>VLOOKUP(VLOOKUP($C$3&amp;"-"&amp;$D34,Import!$C:$D,2,FALSE),Parameters!$C$18:$F$22,Summary!$C$7,FALSE)</f>
        <v xml:space="preserve">0 - Vastaus puuttuu </v>
      </c>
      <c r="P34" s="1032" t="str">
        <f>IF(VLOOKUP($C$3&amp;"-"&amp;$D34,Import!$C:$H,3,FALSE)=0,"",VLOOKUP($C$3&amp;"-"&amp;$D34,Import!$C:$H,3,FALSE))</f>
        <v/>
      </c>
      <c r="Q34" s="1032" t="str">
        <f>IF(VLOOKUP($C$3&amp;"-"&amp;$D34,Import!$C:$H,4,FALSE)=0,"",VLOOKUP($C$3&amp;"-"&amp;$D34,Import!$C:$H,4,FALSE))</f>
        <v/>
      </c>
      <c r="R34" s="1032" t="str">
        <f>IF(VLOOKUP($C$3&amp;"-"&amp;$D34,Import!$C:$H,5,FALSE)=0,"",VLOOKUP($C$3&amp;"-"&amp;$D34,Import!$C:$H,5,FALSE))</f>
        <v/>
      </c>
      <c r="S34" s="1033" t="str">
        <f>IF(VLOOKUP($C$3&amp;"-"&amp;$D34,Import!$C:$H,6,FALSE)=0,"",VLOOKUP($C$3&amp;"-"&amp;$D34,Import!$C:$H,6,FALSE))</f>
        <v/>
      </c>
      <c r="T34" s="157"/>
      <c r="U34" s="256"/>
    </row>
    <row r="35" spans="1:21" s="300" customFormat="1" ht="53.4" customHeight="1" x14ac:dyDescent="0.2">
      <c r="A35" s="309"/>
      <c r="B35" s="1213"/>
      <c r="C35" s="1230"/>
      <c r="D35" s="407" t="s">
        <v>18</v>
      </c>
      <c r="E35" s="514" t="str">
        <f>IF(VLOOKUP(CONCATENATE($C$3,"-",$D35),Languages!$A:$D,1,TRUE)=CONCATENATE($C$3,"-",$D35),VLOOKUP(CONCATENATE($C$3,"-",$D35),Languages!$A:$D,Summary!$C$7,TRUE),NA())</f>
        <v>Kybertapahtumat analysoidaan siten, että se tukee mahdollisten kyberhäiriöiden määrittämistä. Tasolla 1 tämän ei tarvitse olla systemaattista ja säännöllistä.</v>
      </c>
      <c r="F35" s="403">
        <f t="shared" si="1"/>
        <v>0</v>
      </c>
      <c r="G35" s="489"/>
      <c r="H35" s="484"/>
      <c r="I35" s="484"/>
      <c r="J35" s="484"/>
      <c r="K35" s="493"/>
      <c r="L35" s="157"/>
      <c r="M35" s="256"/>
      <c r="N35" s="152"/>
      <c r="O35" s="996" t="str">
        <f>VLOOKUP(VLOOKUP($C$3&amp;"-"&amp;$D35,Import!$C:$D,2,FALSE),Parameters!$C$18:$F$22,Summary!$C$7,FALSE)</f>
        <v xml:space="preserve">0 - Vastaus puuttuu </v>
      </c>
      <c r="P35" s="1024" t="str">
        <f>IF(VLOOKUP($C$3&amp;"-"&amp;$D35,Import!$C:$H,3,FALSE)=0,"",VLOOKUP($C$3&amp;"-"&amp;$D35,Import!$C:$H,3,FALSE))</f>
        <v/>
      </c>
      <c r="Q35" s="1024" t="str">
        <f>IF(VLOOKUP($C$3&amp;"-"&amp;$D35,Import!$C:$H,4,FALSE)=0,"",VLOOKUP($C$3&amp;"-"&amp;$D35,Import!$C:$H,4,FALSE))</f>
        <v/>
      </c>
      <c r="R35" s="1024" t="str">
        <f>IF(VLOOKUP($C$3&amp;"-"&amp;$D35,Import!$C:$H,5,FALSE)=0,"",VLOOKUP($C$3&amp;"-"&amp;$D35,Import!$C:$H,5,FALSE))</f>
        <v/>
      </c>
      <c r="S35" s="1025" t="str">
        <f>IF(VLOOKUP($C$3&amp;"-"&amp;$D35,Import!$C:$H,6,FALSE)=0,"",VLOOKUP($C$3&amp;"-"&amp;$D35,Import!$C:$H,6,FALSE))</f>
        <v/>
      </c>
      <c r="T35" s="157"/>
      <c r="U35" s="256"/>
    </row>
    <row r="36" spans="1:21" s="300" customFormat="1" ht="34.950000000000003" customHeight="1" x14ac:dyDescent="0.2">
      <c r="A36" s="309"/>
      <c r="B36" s="1213"/>
      <c r="C36" s="1224">
        <v>2</v>
      </c>
      <c r="D36" s="406" t="s">
        <v>19</v>
      </c>
      <c r="E36" s="507" t="str">
        <f>IF(VLOOKUP(CONCATENATE($C$3,"-",$D36),Languages!$A:$D,1,TRUE)=CONCATENATE($C$3,"-",$D36),VLOOKUP(CONCATENATE($C$3,"-",$D36),Languages!$A:$D,Summary!$C$7,TRUE),NA())</f>
        <v>Kyberhäiriöiden määrittämisestä on laadittu virallinen kriteeristö, joka perustuu siihen, miten häiriöt voivat vaikuttaa toimintoon.</v>
      </c>
      <c r="F36" s="396">
        <f t="shared" si="1"/>
        <v>0</v>
      </c>
      <c r="G36" s="485"/>
      <c r="H36" s="482"/>
      <c r="I36" s="482"/>
      <c r="J36" s="482"/>
      <c r="K36" s="491"/>
      <c r="L36" s="157"/>
      <c r="M36" s="256"/>
      <c r="N36" s="152"/>
      <c r="O36" s="988" t="str">
        <f>VLOOKUP(VLOOKUP($C$3&amp;"-"&amp;$D36,Import!$C:$D,2,FALSE),Parameters!$C$18:$F$22,Summary!$C$7,FALSE)</f>
        <v xml:space="preserve">0 - Vastaus puuttuu </v>
      </c>
      <c r="P36" s="1022" t="str">
        <f>IF(VLOOKUP($C$3&amp;"-"&amp;$D36,Import!$C:$H,3,FALSE)=0,"",VLOOKUP($C$3&amp;"-"&amp;$D36,Import!$C:$H,3,FALSE))</f>
        <v/>
      </c>
      <c r="Q36" s="1022" t="str">
        <f>IF(VLOOKUP($C$3&amp;"-"&amp;$D36,Import!$C:$H,4,FALSE)=0,"",VLOOKUP($C$3&amp;"-"&amp;$D36,Import!$C:$H,4,FALSE))</f>
        <v/>
      </c>
      <c r="R36" s="1022" t="str">
        <f>IF(VLOOKUP($C$3&amp;"-"&amp;$D36,Import!$C:$H,5,FALSE)=0,"",VLOOKUP($C$3&amp;"-"&amp;$D36,Import!$C:$H,5,FALSE))</f>
        <v/>
      </c>
      <c r="S36" s="1023" t="str">
        <f>IF(VLOOKUP($C$3&amp;"-"&amp;$D36,Import!$C:$H,6,FALSE)=0,"",VLOOKUP($C$3&amp;"-"&amp;$D36,Import!$C:$H,6,FALSE))</f>
        <v/>
      </c>
      <c r="T36" s="157"/>
      <c r="U36" s="256"/>
    </row>
    <row r="37" spans="1:21" s="300" customFormat="1" ht="34.950000000000003" customHeight="1" x14ac:dyDescent="0.2">
      <c r="A37" s="309"/>
      <c r="B37" s="1213"/>
      <c r="C37" s="1237"/>
      <c r="D37" s="298" t="s">
        <v>20</v>
      </c>
      <c r="E37" s="508" t="str">
        <f>IF(VLOOKUP(CONCATENATE($C$3,"-",$D37),Languages!$A:$D,1,TRUE)=CONCATENATE($C$3,"-",$D37),VLOOKUP(CONCATENATE($C$3,"-",$D37),Languages!$A:$D,Summary!$C$7,TRUE),NA())</f>
        <v>Kybertapahtumat määritetään kyberhäiriöiksi laaditun kriteeristön mukaisesti.</v>
      </c>
      <c r="F37" s="291">
        <f t="shared" si="1"/>
        <v>0</v>
      </c>
      <c r="G37" s="311"/>
      <c r="H37" s="483"/>
      <c r="I37" s="483"/>
      <c r="J37" s="483"/>
      <c r="K37" s="492"/>
      <c r="L37" s="157"/>
      <c r="M37" s="256"/>
      <c r="N37" s="152"/>
      <c r="O37" s="991" t="str">
        <f>VLOOKUP(VLOOKUP($C$3&amp;"-"&amp;$D37,Import!$C:$D,2,FALSE),Parameters!$C$18:$F$22,Summary!$C$7,FALSE)</f>
        <v xml:space="preserve">0 - Vastaus puuttuu </v>
      </c>
      <c r="P37" s="1017" t="str">
        <f>IF(VLOOKUP($C$3&amp;"-"&amp;$D37,Import!$C:$H,3,FALSE)=0,"",VLOOKUP($C$3&amp;"-"&amp;$D37,Import!$C:$H,3,FALSE))</f>
        <v/>
      </c>
      <c r="Q37" s="1017" t="str">
        <f>IF(VLOOKUP($C$3&amp;"-"&amp;$D37,Import!$C:$H,4,FALSE)=0,"",VLOOKUP($C$3&amp;"-"&amp;$D37,Import!$C:$H,4,FALSE))</f>
        <v/>
      </c>
      <c r="R37" s="1017" t="str">
        <f>IF(VLOOKUP($C$3&amp;"-"&amp;$D37,Import!$C:$H,5,FALSE)=0,"",VLOOKUP($C$3&amp;"-"&amp;$D37,Import!$C:$H,5,FALSE))</f>
        <v/>
      </c>
      <c r="S37" s="1018" t="str">
        <f>IF(VLOOKUP($C$3&amp;"-"&amp;$D37,Import!$C:$H,6,FALSE)=0,"",VLOOKUP($C$3&amp;"-"&amp;$D37,Import!$C:$H,6,FALSE))</f>
        <v/>
      </c>
      <c r="T37" s="157"/>
      <c r="U37" s="256"/>
    </row>
    <row r="38" spans="1:21" s="300" customFormat="1" ht="61.8" customHeight="1" x14ac:dyDescent="0.2">
      <c r="A38" s="309"/>
      <c r="B38" s="1213"/>
      <c r="C38" s="1237"/>
      <c r="D38" s="298" t="s">
        <v>21</v>
      </c>
      <c r="E38" s="508" t="str">
        <f>IF(VLOOKUP(CONCATENATE($C$3,"-",$D38),Languages!$A:$D,1,TRUE)=CONCATENATE($C$3,"-",$D38),VLOOKUP(CONCATENATE($C$3,"-",$D38),Languages!$A:$D,Summary!$C$7,TRUE),NA())</f>
        <v>Kyberhäiriöiden määrittämisen kriteeristö päivitetään aika ajoin ja määriteltyjen tilanteiden kuten organisaatiomuutosten, harjoitustoiminnasta saatujen kokemusten tai uusien havaittujen uhkien perusteella.</v>
      </c>
      <c r="F38" s="291">
        <f t="shared" si="1"/>
        <v>0</v>
      </c>
      <c r="G38" s="311"/>
      <c r="H38" s="483"/>
      <c r="I38" s="483"/>
      <c r="J38" s="483"/>
      <c r="K38" s="492"/>
      <c r="L38" s="157"/>
      <c r="M38" s="256"/>
      <c r="N38" s="152"/>
      <c r="O38" s="991" t="str">
        <f>VLOOKUP(VLOOKUP($C$3&amp;"-"&amp;$D38,Import!$C:$D,2,FALSE),Parameters!$C$18:$F$22,Summary!$C$7,FALSE)</f>
        <v xml:space="preserve">0 - Vastaus puuttuu </v>
      </c>
      <c r="P38" s="1017" t="str">
        <f>IF(VLOOKUP($C$3&amp;"-"&amp;$D38,Import!$C:$H,3,FALSE)=0,"",VLOOKUP($C$3&amp;"-"&amp;$D38,Import!$C:$H,3,FALSE))</f>
        <v/>
      </c>
      <c r="Q38" s="1017" t="str">
        <f>IF(VLOOKUP($C$3&amp;"-"&amp;$D38,Import!$C:$H,4,FALSE)=0,"",VLOOKUP($C$3&amp;"-"&amp;$D38,Import!$C:$H,4,FALSE))</f>
        <v/>
      </c>
      <c r="R38" s="1017" t="str">
        <f>IF(VLOOKUP($C$3&amp;"-"&amp;$D38,Import!$C:$H,5,FALSE)=0,"",VLOOKUP($C$3&amp;"-"&amp;$D38,Import!$C:$H,5,FALSE))</f>
        <v/>
      </c>
      <c r="S38" s="1018" t="str">
        <f>IF(VLOOKUP($C$3&amp;"-"&amp;$D38,Import!$C:$H,6,FALSE)=0,"",VLOOKUP($C$3&amp;"-"&amp;$D38,Import!$C:$H,6,FALSE))</f>
        <v/>
      </c>
      <c r="T38" s="157"/>
      <c r="U38" s="256"/>
    </row>
    <row r="39" spans="1:21" s="300" customFormat="1" ht="46.8" customHeight="1" x14ac:dyDescent="0.2">
      <c r="A39" s="309"/>
      <c r="B39" s="1213"/>
      <c r="C39" s="1237"/>
      <c r="D39" s="298" t="s">
        <v>109</v>
      </c>
      <c r="E39" s="508" t="str">
        <f>IF(VLOOKUP(CONCATENATE($C$3,"-",$D39),Languages!$A:$D,1,TRUE)=CONCATENATE($C$3,"-",$D39),VLOOKUP(CONCATENATE($C$3,"-",$D39),Languages!$A:$D,Summary!$C$7,TRUE),NA())</f>
        <v>Kybertapahtumista ja -häiriöistä pidetään rekisteriä, johon tapahtumat ja häiriöt kirjataan ja jossa niitä seurataan lopputulemiin asti.</v>
      </c>
      <c r="F39" s="291">
        <f t="shared" si="1"/>
        <v>0</v>
      </c>
      <c r="G39" s="311"/>
      <c r="H39" s="483"/>
      <c r="I39" s="483"/>
      <c r="J39" s="483"/>
      <c r="K39" s="492"/>
      <c r="L39" s="157"/>
      <c r="M39" s="256"/>
      <c r="N39" s="152"/>
      <c r="O39" s="991" t="str">
        <f>VLOOKUP(VLOOKUP($C$3&amp;"-"&amp;$D39,Import!$C:$D,2,FALSE),Parameters!$C$18:$F$22,Summary!$C$7,FALSE)</f>
        <v xml:space="preserve">0 - Vastaus puuttuu </v>
      </c>
      <c r="P39" s="1017" t="str">
        <f>IF(VLOOKUP($C$3&amp;"-"&amp;$D39,Import!$C:$H,3,FALSE)=0,"",VLOOKUP($C$3&amp;"-"&amp;$D39,Import!$C:$H,3,FALSE))</f>
        <v/>
      </c>
      <c r="Q39" s="1017" t="str">
        <f>IF(VLOOKUP($C$3&amp;"-"&amp;$D39,Import!$C:$H,4,FALSE)=0,"",VLOOKUP($C$3&amp;"-"&amp;$D39,Import!$C:$H,4,FALSE))</f>
        <v/>
      </c>
      <c r="R39" s="1017" t="str">
        <f>IF(VLOOKUP($C$3&amp;"-"&amp;$D39,Import!$C:$H,5,FALSE)=0,"",VLOOKUP($C$3&amp;"-"&amp;$D39,Import!$C:$H,5,FALSE))</f>
        <v/>
      </c>
      <c r="S39" s="1018" t="str">
        <f>IF(VLOOKUP($C$3&amp;"-"&amp;$D39,Import!$C:$H,6,FALSE)=0,"",VLOOKUP($C$3&amp;"-"&amp;$D39,Import!$C:$H,6,FALSE))</f>
        <v/>
      </c>
      <c r="T39" s="157"/>
      <c r="U39" s="256"/>
    </row>
    <row r="40" spans="1:21" s="300" customFormat="1" ht="90" customHeight="1" x14ac:dyDescent="0.2">
      <c r="A40" s="309"/>
      <c r="B40" s="1213"/>
      <c r="C40" s="1225"/>
      <c r="D40" s="407" t="s">
        <v>173</v>
      </c>
      <c r="E40" s="514" t="str">
        <f>IF(VLOOKUP(CONCATENATE($C$3,"-",$D40),Languages!$A:$D,1,TRUE)=CONCATENATE($C$3,"-",$D40),VLOOKUP(CONCATENATE($C$3,"-",$D40),Languages!$A:$D,Summary!$C$7,TRUE),NA())</f>
        <v>Kyberturvallisuuden kannalta olennaiset sidosryhmät (esimerkiksi palveluntoimittajat, viranomaiset, toimialan muut organisaatiot, ISAC-ryhmät tai organisaation muut sisäiset ja ulkoiset sidosryhmät) on tunnistettu ja näitä informoidaan kybertapahtumista ja -häiriöistä tilannekuva-osiossa määritettyjen raportointivaatimusten mukaisesti [kts. SITUATION-3d].</v>
      </c>
      <c r="F40" s="403">
        <f t="shared" si="1"/>
        <v>0</v>
      </c>
      <c r="G40" s="489"/>
      <c r="H40" s="484"/>
      <c r="I40" s="484"/>
      <c r="J40" s="484"/>
      <c r="K40" s="493"/>
      <c r="L40" s="157"/>
      <c r="M40" s="256"/>
      <c r="N40" s="152"/>
      <c r="O40" s="996" t="str">
        <f>VLOOKUP(VLOOKUP($C$3&amp;"-"&amp;$D40,Import!$C:$D,2,FALSE),Parameters!$C$18:$F$22,Summary!$C$7,FALSE)</f>
        <v xml:space="preserve">0 - Vastaus puuttuu </v>
      </c>
      <c r="P40" s="1024" t="str">
        <f>IF(VLOOKUP($C$3&amp;"-"&amp;$D40,Import!$C:$H,3,FALSE)=0,"",VLOOKUP($C$3&amp;"-"&amp;$D40,Import!$C:$H,3,FALSE))</f>
        <v/>
      </c>
      <c r="Q40" s="1024" t="str">
        <f>IF(VLOOKUP($C$3&amp;"-"&amp;$D40,Import!$C:$H,4,FALSE)=0,"",VLOOKUP($C$3&amp;"-"&amp;$D40,Import!$C:$H,4,FALSE))</f>
        <v/>
      </c>
      <c r="R40" s="1024" t="str">
        <f>IF(VLOOKUP($C$3&amp;"-"&amp;$D40,Import!$C:$H,5,FALSE)=0,"",VLOOKUP($C$3&amp;"-"&amp;$D40,Import!$C:$H,5,FALSE))</f>
        <v/>
      </c>
      <c r="S40" s="1025" t="str">
        <f>IF(VLOOKUP($C$3&amp;"-"&amp;$D40,Import!$C:$H,6,FALSE)=0,"",VLOOKUP($C$3&amp;"-"&amp;$D40,Import!$C:$H,6,FALSE))</f>
        <v/>
      </c>
      <c r="T40" s="157"/>
      <c r="U40" s="256"/>
    </row>
    <row r="41" spans="1:21" s="300" customFormat="1" ht="46.2" customHeight="1" x14ac:dyDescent="0.2">
      <c r="A41" s="309"/>
      <c r="B41" s="1213"/>
      <c r="C41" s="1226">
        <v>3</v>
      </c>
      <c r="D41" s="406" t="s">
        <v>175</v>
      </c>
      <c r="E41" s="507" t="str">
        <f>IF(VLOOKUP(CONCATENATE($C$3,"-",$D41),Languages!$A:$D,1,TRUE)=CONCATENATE($C$3,"-",$D41),VLOOKUP(CONCATENATE($C$3,"-",$D41),Languages!$A:$D,Summary!$C$7,TRUE),NA())</f>
        <v>Kyberhäiriöiden määrittämisen kriteeristö on linjassa kyberriskien priorisoinnin kriteereiden kanssa [kts. RISK-3b].</v>
      </c>
      <c r="F41" s="396">
        <f t="shared" si="1"/>
        <v>0</v>
      </c>
      <c r="G41" s="485"/>
      <c r="H41" s="482"/>
      <c r="I41" s="482"/>
      <c r="J41" s="482"/>
      <c r="K41" s="491"/>
      <c r="L41" s="157"/>
      <c r="M41" s="256"/>
      <c r="N41" s="152"/>
      <c r="O41" s="988" t="str">
        <f>VLOOKUP(VLOOKUP($C$3&amp;"-"&amp;$D41,Import!$C:$D,2,FALSE),Parameters!$C$18:$F$22,Summary!$C$7,FALSE)</f>
        <v xml:space="preserve">0 - Vastaus puuttuu </v>
      </c>
      <c r="P41" s="1022" t="str">
        <f>IF(VLOOKUP($C$3&amp;"-"&amp;$D41,Import!$C:$H,3,FALSE)=0,"",VLOOKUP($C$3&amp;"-"&amp;$D41,Import!$C:$H,3,FALSE))</f>
        <v/>
      </c>
      <c r="Q41" s="1022" t="str">
        <f>IF(VLOOKUP($C$3&amp;"-"&amp;$D41,Import!$C:$H,4,FALSE)=0,"",VLOOKUP($C$3&amp;"-"&amp;$D41,Import!$C:$H,4,FALSE))</f>
        <v/>
      </c>
      <c r="R41" s="1022" t="str">
        <f>IF(VLOOKUP($C$3&amp;"-"&amp;$D41,Import!$C:$H,5,FALSE)=0,"",VLOOKUP($C$3&amp;"-"&amp;$D41,Import!$C:$H,5,FALSE))</f>
        <v/>
      </c>
      <c r="S41" s="1023" t="str">
        <f>IF(VLOOKUP($C$3&amp;"-"&amp;$D41,Import!$C:$H,6,FALSE)=0,"",VLOOKUP($C$3&amp;"-"&amp;$D41,Import!$C:$H,6,FALSE))</f>
        <v/>
      </c>
      <c r="T41" s="157"/>
      <c r="U41" s="256"/>
    </row>
    <row r="42" spans="1:21" s="300" customFormat="1" ht="44.4" customHeight="1" x14ac:dyDescent="0.2">
      <c r="A42" s="309"/>
      <c r="B42" s="1213"/>
      <c r="C42" s="1227"/>
      <c r="D42" s="407" t="s">
        <v>206</v>
      </c>
      <c r="E42" s="514" t="str">
        <f>IF(VLOOKUP(CONCATENATE($C$3,"-",$D42),Languages!$A:$D,1,TRUE)=CONCATENATE($C$3,"-",$D42),VLOOKUP(CONCATENATE($C$3,"-",$D42),Languages!$A:$D,Summary!$C$7,TRUE),NA())</f>
        <v>Kyberhäiriöiden tietoja verrataan keskenään, jotta niistä tunnistettaisiin mahdollisia säännönmukaisuuksia, trendejä tai muita yhteisiä piirteitä.</v>
      </c>
      <c r="F42" s="403">
        <f t="shared" si="1"/>
        <v>0</v>
      </c>
      <c r="G42" s="489"/>
      <c r="H42" s="484"/>
      <c r="I42" s="484"/>
      <c r="J42" s="484"/>
      <c r="K42" s="493"/>
      <c r="L42" s="157"/>
      <c r="M42" s="256"/>
      <c r="N42" s="152"/>
      <c r="O42" s="996" t="str">
        <f>VLOOKUP(VLOOKUP($C$3&amp;"-"&amp;$D42,Import!$C:$D,2,FALSE),Parameters!$C$18:$F$22,Summary!$C$7,FALSE)</f>
        <v xml:space="preserve">0 - Vastaus puuttuu </v>
      </c>
      <c r="P42" s="1024" t="str">
        <f>IF(VLOOKUP($C$3&amp;"-"&amp;$D42,Import!$C:$H,3,FALSE)=0,"",VLOOKUP($C$3&amp;"-"&amp;$D42,Import!$C:$H,3,FALSE))</f>
        <v/>
      </c>
      <c r="Q42" s="1024" t="str">
        <f>IF(VLOOKUP($C$3&amp;"-"&amp;$D42,Import!$C:$H,4,FALSE)=0,"",VLOOKUP($C$3&amp;"-"&amp;$D42,Import!$C:$H,4,FALSE))</f>
        <v/>
      </c>
      <c r="R42" s="1024" t="str">
        <f>IF(VLOOKUP($C$3&amp;"-"&amp;$D42,Import!$C:$H,5,FALSE)=0,"",VLOOKUP($C$3&amp;"-"&amp;$D42,Import!$C:$H,5,FALSE))</f>
        <v/>
      </c>
      <c r="S42" s="1025" t="str">
        <f>IF(VLOOKUP($C$3&amp;"-"&amp;$D42,Import!$C:$H,6,FALSE)=0,"",VLOOKUP($C$3&amp;"-"&amp;$D42,Import!$C:$H,6,FALSE))</f>
        <v/>
      </c>
      <c r="T42" s="157"/>
      <c r="U42" s="256"/>
    </row>
    <row r="43" spans="1:21" s="180" customFormat="1" ht="30" customHeight="1" x14ac:dyDescent="0.25">
      <c r="A43" s="169"/>
      <c r="B43" s="273"/>
      <c r="C43" s="173">
        <v>3</v>
      </c>
      <c r="D43" s="173" t="str">
        <f>IF(VLOOKUP(CONCATENATE($C$3,"-",C43),Languages!$A:$D,1,TRUE)=CONCATENATE($C$3,"-",C43),VLOOKUP(CONCATENATE($C$3,"-",C43),Languages!$A:$D,Summary!$C$7,TRUE),NA())</f>
        <v>Tapahtumiin ja häiriöihin reagoiminen</v>
      </c>
      <c r="E43" s="173"/>
      <c r="F43" s="296"/>
      <c r="G43" s="1006"/>
      <c r="H43" s="1030"/>
      <c r="I43" s="1030"/>
      <c r="J43" s="1030"/>
      <c r="K43" s="1030"/>
      <c r="L43" s="157"/>
      <c r="M43" s="256"/>
      <c r="N43" s="152"/>
      <c r="O43" s="296"/>
      <c r="P43" s="297"/>
      <c r="Q43" s="297"/>
      <c r="R43" s="297"/>
      <c r="S43" s="297"/>
      <c r="T43" s="157"/>
      <c r="U43" s="256"/>
    </row>
    <row r="44" spans="1:21" s="289" customFormat="1" ht="19.95" customHeight="1" x14ac:dyDescent="0.2">
      <c r="A44" s="308"/>
      <c r="B44" s="283"/>
      <c r="C44" s="284" t="str">
        <f>IF(VLOOKUP("GEN-LEVEL",Languages!$A:$D,1,TRUE)="GEN-LEVEL",VLOOKUP("GEN-LEVEL",Languages!$A:$D,Summary!$C$7,TRUE),NA())</f>
        <v>Taso</v>
      </c>
      <c r="D44" s="284"/>
      <c r="E44" s="285" t="str">
        <f>IF(VLOOKUP("GEN-PRACTICE",Languages!$A:$D,1,TRUE)="GEN-PRACTICE",VLOOKUP("GEN-PRACTICE",Languages!$A:$D,Summary!$C$7,TRUE),NA())</f>
        <v>Käytäntö</v>
      </c>
      <c r="F44" s="286"/>
      <c r="G44" s="1003" t="str">
        <f>IF(VLOOKUP("GEN-ANSWER",Languages!$A:$D,1,TRUE)="GEN-ANSWER",VLOOKUP("GEN-ANSWER",Languages!$A:$D,Summary!$C$7,TRUE),NA())</f>
        <v>Vastaus</v>
      </c>
      <c r="H44" s="1004" t="str">
        <f>IF(VLOOKUP("KM112",Languages!$A:$D,1,TRUE)="KM112",VLOOKUP("KM112",Languages!$A:$D,Summary!$C$7,TRUE),NA())</f>
        <v>Kommentit</v>
      </c>
      <c r="I44" s="1004" t="str">
        <f>IF(VLOOKUP("KM113",Languages!$A:$D,1,TRUE)="KM113",VLOOKUP("KM113",Languages!$A:$D,Summary!$C$7,TRUE),NA())</f>
        <v>Sisäinen viittaus</v>
      </c>
      <c r="J44" s="1004" t="str">
        <f>IF(VLOOKUP("KM114",Languages!$A:$D,1,TRUE)="KM114",VLOOKUP("KM114",Languages!$A:$D,Summary!$C$7,TRUE),NA())</f>
        <v>Ulkoinen viittaus</v>
      </c>
      <c r="K44" s="1004" t="str">
        <f>IF(VLOOKUP("KM115",Languages!$A:$D,1,TRUE)="KM115",VLOOKUP("KM115",Languages!$A:$D,Summary!$C$7,TRUE),NA())</f>
        <v>Kehityskohde</v>
      </c>
      <c r="L44" s="287"/>
      <c r="M44" s="288"/>
      <c r="N44" s="283"/>
      <c r="O44" s="503" t="str">
        <f>IF(VLOOKUP("GEN-ANSWER",Languages!$A:$D,1,TRUE)="GEN-ANSWER",VLOOKUP("GEN-ANSWER",Languages!$A:$D,Summary!$C$7,TRUE),NA())</f>
        <v>Vastaus</v>
      </c>
      <c r="P44" s="503" t="str">
        <f>IF(VLOOKUP("KM112",Languages!$A:$D,1,TRUE)="KM112",VLOOKUP("KM112",Languages!$A:$D,Summary!$C$7,TRUE),NA())</f>
        <v>Kommentit</v>
      </c>
      <c r="Q44" s="503" t="str">
        <f>IF(VLOOKUP("KM113",Languages!$A:$D,1,TRUE)="KM113",VLOOKUP("KM113",Languages!$A:$D,Summary!$C$7,TRUE),NA())</f>
        <v>Sisäinen viittaus</v>
      </c>
      <c r="R44" s="503" t="str">
        <f>IF(VLOOKUP("KM114",Languages!$A:$D,1,TRUE)="KM114",VLOOKUP("KM114",Languages!$A:$D,Summary!$C$7,TRUE),NA())</f>
        <v>Ulkoinen viittaus</v>
      </c>
      <c r="S44" s="503" t="str">
        <f>IF(VLOOKUP("KM115",Languages!$A:$D,1,TRUE)="KM115",VLOOKUP("KM115",Languages!$A:$D,Summary!$C$7,TRUE),NA())</f>
        <v>Kehityskohde</v>
      </c>
      <c r="T44" s="287"/>
      <c r="U44" s="288"/>
    </row>
    <row r="45" spans="1:21" s="300" customFormat="1" ht="59.4" customHeight="1" x14ac:dyDescent="0.2">
      <c r="A45" s="309"/>
      <c r="B45" s="301"/>
      <c r="C45" s="1229">
        <v>1</v>
      </c>
      <c r="D45" s="406" t="s">
        <v>22</v>
      </c>
      <c r="E45" s="507" t="str">
        <f>IF(VLOOKUP(CONCATENATE($C$3,"-",$D45),Languages!$A:$D,1,TRUE)=CONCATENATE($C$3,"-",$D45),VLOOKUP(CONCATENATE($C$3,"-",$D45),Languages!$A:$D,Summary!$C$7,TRUE),NA())</f>
        <v>Kybertapahtumiin ja -häiriöihin reagoimista varten on tunnistettu soveltuvat työntekijät ja osoitettu heille heidän roolinsa. Tasolla 1 tämän ei tarvitse olla systemaattista ja säännöllistä.</v>
      </c>
      <c r="F45" s="396">
        <f t="shared" ref="F45:F55" si="2">IFERROR(INT(LEFT($G45,1)),0)</f>
        <v>0</v>
      </c>
      <c r="G45" s="485"/>
      <c r="H45" s="482"/>
      <c r="I45" s="482"/>
      <c r="J45" s="482"/>
      <c r="K45" s="491"/>
      <c r="L45" s="157"/>
      <c r="M45" s="256"/>
      <c r="N45" s="152"/>
      <c r="O45" s="988" t="str">
        <f>VLOOKUP(VLOOKUP($C$3&amp;"-"&amp;$D45,Import!$C:$D,2,FALSE),Parameters!$C$18:$F$22,Summary!$C$7,FALSE)</f>
        <v xml:space="preserve">0 - Vastaus puuttuu </v>
      </c>
      <c r="P45" s="1022" t="str">
        <f>IF(VLOOKUP($C$3&amp;"-"&amp;$D45,Import!$C:$H,3,FALSE)=0,"",VLOOKUP($C$3&amp;"-"&amp;$D45,Import!$C:$H,3,FALSE))</f>
        <v/>
      </c>
      <c r="Q45" s="1022" t="str">
        <f>IF(VLOOKUP($C$3&amp;"-"&amp;$D45,Import!$C:$H,4,FALSE)=0,"",VLOOKUP($C$3&amp;"-"&amp;$D45,Import!$C:$H,4,FALSE))</f>
        <v/>
      </c>
      <c r="R45" s="1022" t="str">
        <f>IF(VLOOKUP($C$3&amp;"-"&amp;$D45,Import!$C:$H,5,FALSE)=0,"",VLOOKUP($C$3&amp;"-"&amp;$D45,Import!$C:$H,5,FALSE))</f>
        <v/>
      </c>
      <c r="S45" s="1023" t="str">
        <f>IF(VLOOKUP($C$3&amp;"-"&amp;$D45,Import!$C:$H,6,FALSE)=0,"",VLOOKUP($C$3&amp;"-"&amp;$D45,Import!$C:$H,6,FALSE))</f>
        <v/>
      </c>
      <c r="T45" s="157"/>
      <c r="U45" s="256"/>
    </row>
    <row r="46" spans="1:21" s="300" customFormat="1" ht="56.4" customHeight="1" x14ac:dyDescent="0.2">
      <c r="A46" s="309"/>
      <c r="B46" s="301"/>
      <c r="C46" s="1238"/>
      <c r="D46" s="298" t="s">
        <v>23</v>
      </c>
      <c r="E46" s="508" t="str">
        <f>IF(VLOOKUP(CONCATENATE($C$3,"-",$D46),Languages!$A:$D,1,TRUE)=CONCATENATE($C$3,"-",$D46),VLOOKUP(CONCATENATE($C$3,"-",$D46),Languages!$A:$D,Summary!$C$7,TRUE),NA())</f>
        <v>Kybertapahtumiin- ja häiriöihin reagoidaan siten, että rajoitetaan toimintoon kohdistuvaa vaikutusta ja palautetaan toiminta normaaliksi. Tasolla 1 tämän ei tarvitse olla systemaattista ja säännöllistä.</v>
      </c>
      <c r="F46" s="291">
        <f t="shared" si="2"/>
        <v>0</v>
      </c>
      <c r="G46" s="311"/>
      <c r="H46" s="483"/>
      <c r="I46" s="483"/>
      <c r="J46" s="483"/>
      <c r="K46" s="492"/>
      <c r="L46" s="157"/>
      <c r="M46" s="256"/>
      <c r="N46" s="152"/>
      <c r="O46" s="991" t="str">
        <f>VLOOKUP(VLOOKUP($C$3&amp;"-"&amp;$D46,Import!$C:$D,2,FALSE),Parameters!$C$18:$F$22,Summary!$C$7,FALSE)</f>
        <v xml:space="preserve">0 - Vastaus puuttuu </v>
      </c>
      <c r="P46" s="1017" t="str">
        <f>IF(VLOOKUP($C$3&amp;"-"&amp;$D46,Import!$C:$H,3,FALSE)=0,"",VLOOKUP($C$3&amp;"-"&amp;$D46,Import!$C:$H,3,FALSE))</f>
        <v/>
      </c>
      <c r="Q46" s="1017" t="str">
        <f>IF(VLOOKUP($C$3&amp;"-"&amp;$D46,Import!$C:$H,4,FALSE)=0,"",VLOOKUP($C$3&amp;"-"&amp;$D46,Import!$C:$H,4,FALSE))</f>
        <v/>
      </c>
      <c r="R46" s="1017" t="str">
        <f>IF(VLOOKUP($C$3&amp;"-"&amp;$D46,Import!$C:$H,5,FALSE)=0,"",VLOOKUP($C$3&amp;"-"&amp;$D46,Import!$C:$H,5,FALSE))</f>
        <v/>
      </c>
      <c r="S46" s="1018" t="str">
        <f>IF(VLOOKUP($C$3&amp;"-"&amp;$D46,Import!$C:$H,6,FALSE)=0,"",VLOOKUP($C$3&amp;"-"&amp;$D46,Import!$C:$H,6,FALSE))</f>
        <v/>
      </c>
      <c r="T46" s="157"/>
      <c r="U46" s="256"/>
    </row>
    <row r="47" spans="1:21" s="300" customFormat="1" ht="45" customHeight="1" x14ac:dyDescent="0.2">
      <c r="A47" s="309"/>
      <c r="B47" s="301"/>
      <c r="C47" s="1230"/>
      <c r="D47" s="407" t="s">
        <v>24</v>
      </c>
      <c r="E47" s="514" t="str">
        <f>IF(VLOOKUP(CONCATENATE($C$3,"-",$D47),Languages!$A:$D,1,TRUE)=CONCATENATE($C$3,"-",$D47),VLOOKUP(CONCATENATE($C$3,"-",$D47),Languages!$A:$D,Summary!$C$7,TRUE),NA())</f>
        <v>Kyberhäiriöistä tuotetaan raportointia (esimerkiksi sisäisesti, CERT-FI tai soveltuville ISAC-ryhmille). Tasolla 1 tämän ei tarvitse olla systemaattista ja säännöllistä.</v>
      </c>
      <c r="F47" s="403">
        <f t="shared" si="2"/>
        <v>0</v>
      </c>
      <c r="G47" s="489"/>
      <c r="H47" s="484"/>
      <c r="I47" s="484"/>
      <c r="J47" s="484"/>
      <c r="K47" s="493"/>
      <c r="L47" s="157"/>
      <c r="M47" s="256"/>
      <c r="N47" s="152"/>
      <c r="O47" s="996" t="str">
        <f>VLOOKUP(VLOOKUP($C$3&amp;"-"&amp;$D47,Import!$C:$D,2,FALSE),Parameters!$C$18:$F$22,Summary!$C$7,FALSE)</f>
        <v xml:space="preserve">0 - Vastaus puuttuu </v>
      </c>
      <c r="P47" s="1024" t="str">
        <f>IF(VLOOKUP($C$3&amp;"-"&amp;$D47,Import!$C:$H,3,FALSE)=0,"",VLOOKUP($C$3&amp;"-"&amp;$D47,Import!$C:$H,3,FALSE))</f>
        <v/>
      </c>
      <c r="Q47" s="1024" t="str">
        <f>IF(VLOOKUP($C$3&amp;"-"&amp;$D47,Import!$C:$H,4,FALSE)=0,"",VLOOKUP($C$3&amp;"-"&amp;$D47,Import!$C:$H,4,FALSE))</f>
        <v/>
      </c>
      <c r="R47" s="1024" t="str">
        <f>IF(VLOOKUP($C$3&amp;"-"&amp;$D47,Import!$C:$H,5,FALSE)=0,"",VLOOKUP($C$3&amp;"-"&amp;$D47,Import!$C:$H,5,FALSE))</f>
        <v/>
      </c>
      <c r="S47" s="1025" t="str">
        <f>IF(VLOOKUP($C$3&amp;"-"&amp;$D47,Import!$C:$H,6,FALSE)=0,"",VLOOKUP($C$3&amp;"-"&amp;$D47,Import!$C:$H,6,FALSE))</f>
        <v/>
      </c>
      <c r="T47" s="157"/>
      <c r="U47" s="256"/>
    </row>
    <row r="48" spans="1:21" s="300" customFormat="1" ht="34.950000000000003" customHeight="1" x14ac:dyDescent="0.2">
      <c r="A48" s="309"/>
      <c r="B48" s="301"/>
      <c r="C48" s="1224">
        <v>2</v>
      </c>
      <c r="D48" s="406" t="s">
        <v>25</v>
      </c>
      <c r="E48" s="507" t="str">
        <f>IF(VLOOKUP(CONCATENATE($C$3,"-",$D48),Languages!$A:$D,1,TRUE)=CONCATENATE($C$3,"-",$D48),VLOOKUP(CONCATENATE($C$3,"-",$D48),Languages!$A:$D,Summary!$C$7,TRUE),NA())</f>
        <v>Kyberhäiriöiden reagoimisen varalle on luotu suunnitelma, jota pidetään yllä ja joka kattaa koko häiriönhallinnan elinkaaren.</v>
      </c>
      <c r="F48" s="396">
        <f t="shared" si="2"/>
        <v>0</v>
      </c>
      <c r="G48" s="485"/>
      <c r="H48" s="482"/>
      <c r="I48" s="482"/>
      <c r="J48" s="482"/>
      <c r="K48" s="491"/>
      <c r="L48" s="157"/>
      <c r="M48" s="256"/>
      <c r="N48" s="152"/>
      <c r="O48" s="988" t="str">
        <f>VLOOKUP(VLOOKUP($C$3&amp;"-"&amp;$D48,Import!$C:$D,2,FALSE),Parameters!$C$18:$F$22,Summary!$C$7,FALSE)</f>
        <v xml:space="preserve">0 - Vastaus puuttuu </v>
      </c>
      <c r="P48" s="1022" t="str">
        <f>IF(VLOOKUP($C$3&amp;"-"&amp;$D48,Import!$C:$H,3,FALSE)=0,"",VLOOKUP($C$3&amp;"-"&amp;$D48,Import!$C:$H,3,FALSE))</f>
        <v/>
      </c>
      <c r="Q48" s="1022" t="str">
        <f>IF(VLOOKUP($C$3&amp;"-"&amp;$D48,Import!$C:$H,4,FALSE)=0,"",VLOOKUP($C$3&amp;"-"&amp;$D48,Import!$C:$H,4,FALSE))</f>
        <v/>
      </c>
      <c r="R48" s="1022" t="str">
        <f>IF(VLOOKUP($C$3&amp;"-"&amp;$D48,Import!$C:$H,5,FALSE)=0,"",VLOOKUP($C$3&amp;"-"&amp;$D48,Import!$C:$H,5,FALSE))</f>
        <v/>
      </c>
      <c r="S48" s="1023" t="str">
        <f>IF(VLOOKUP($C$3&amp;"-"&amp;$D48,Import!$C:$H,6,FALSE)=0,"",VLOOKUP($C$3&amp;"-"&amp;$D48,Import!$C:$H,6,FALSE))</f>
        <v/>
      </c>
      <c r="T48" s="157"/>
      <c r="U48" s="256"/>
    </row>
    <row r="49" spans="1:21" s="300" customFormat="1" ht="34.950000000000003" customHeight="1" x14ac:dyDescent="0.2">
      <c r="A49" s="309"/>
      <c r="B49" s="301"/>
      <c r="C49" s="1237"/>
      <c r="D49" s="298" t="s">
        <v>26</v>
      </c>
      <c r="E49" s="508" t="str">
        <f>IF(VLOOKUP(CONCATENATE($C$3,"-",$D49),Languages!$A:$D,1,TRUE)=CONCATENATE($C$3,"-",$D49),VLOOKUP(CONCATENATE($C$3,"-",$D49),Languages!$A:$D,Summary!$C$7,TRUE),NA())</f>
        <v>Kybertapahtumiin ja -häiriöihin reagoidaan määriteltyjen suunnitelmien ja prosessien mukaisesti.</v>
      </c>
      <c r="F49" s="291">
        <f t="shared" si="2"/>
        <v>0</v>
      </c>
      <c r="G49" s="311"/>
      <c r="H49" s="483"/>
      <c r="I49" s="483"/>
      <c r="J49" s="483"/>
      <c r="K49" s="492"/>
      <c r="L49" s="157"/>
      <c r="M49" s="256"/>
      <c r="N49" s="152"/>
      <c r="O49" s="991" t="str">
        <f>VLOOKUP(VLOOKUP($C$3&amp;"-"&amp;$D49,Import!$C:$D,2,FALSE),Parameters!$C$18:$F$22,Summary!$C$7,FALSE)</f>
        <v xml:space="preserve">0 - Vastaus puuttuu </v>
      </c>
      <c r="P49" s="1017" t="str">
        <f>IF(VLOOKUP($C$3&amp;"-"&amp;$D49,Import!$C:$H,3,FALSE)=0,"",VLOOKUP($C$3&amp;"-"&amp;$D49,Import!$C:$H,3,FALSE))</f>
        <v/>
      </c>
      <c r="Q49" s="1017" t="str">
        <f>IF(VLOOKUP($C$3&amp;"-"&amp;$D49,Import!$C:$H,4,FALSE)=0,"",VLOOKUP($C$3&amp;"-"&amp;$D49,Import!$C:$H,4,FALSE))</f>
        <v/>
      </c>
      <c r="R49" s="1017" t="str">
        <f>IF(VLOOKUP($C$3&amp;"-"&amp;$D49,Import!$C:$H,5,FALSE)=0,"",VLOOKUP($C$3&amp;"-"&amp;$D49,Import!$C:$H,5,FALSE))</f>
        <v/>
      </c>
      <c r="S49" s="1018" t="str">
        <f>IF(VLOOKUP($C$3&amp;"-"&amp;$D49,Import!$C:$H,6,FALSE)=0,"",VLOOKUP($C$3&amp;"-"&amp;$D49,Import!$C:$H,6,FALSE))</f>
        <v/>
      </c>
      <c r="T49" s="157"/>
      <c r="U49" s="256"/>
    </row>
    <row r="50" spans="1:21" s="300" customFormat="1" ht="45" customHeight="1" x14ac:dyDescent="0.2">
      <c r="A50" s="309"/>
      <c r="B50" s="301"/>
      <c r="C50" s="1237"/>
      <c r="D50" s="298" t="s">
        <v>27</v>
      </c>
      <c r="E50" s="508" t="str">
        <f>IF(VLOOKUP(CONCATENATE($C$3,"-",$D50),Languages!$A:$D,1,TRUE)=CONCATENATE($C$3,"-",$D50),VLOOKUP(CONCATENATE($C$3,"-",$D50),Languages!$A:$D,Summary!$C$7,TRUE),NA())</f>
        <v>Kyberhäiriöihin ja -tapahtumiin reagoinnin suunnitelmia harjoitellaan aika ajoin ja määriteltyjen tilanteiden kuten järjestelmämuutosten tai ulkoisten tapahtumien yhteydessä.</v>
      </c>
      <c r="F50" s="291">
        <f t="shared" si="2"/>
        <v>0</v>
      </c>
      <c r="G50" s="311"/>
      <c r="H50" s="483"/>
      <c r="I50" s="483"/>
      <c r="J50" s="483"/>
      <c r="K50" s="492"/>
      <c r="L50" s="157"/>
      <c r="M50" s="256"/>
      <c r="N50" s="152"/>
      <c r="O50" s="991" t="str">
        <f>VLOOKUP(VLOOKUP($C$3&amp;"-"&amp;$D50,Import!$C:$D,2,FALSE),Parameters!$C$18:$F$22,Summary!$C$7,FALSE)</f>
        <v xml:space="preserve">0 - Vastaus puuttuu </v>
      </c>
      <c r="P50" s="1017" t="str">
        <f>IF(VLOOKUP($C$3&amp;"-"&amp;$D50,Import!$C:$H,3,FALSE)=0,"",VLOOKUP($C$3&amp;"-"&amp;$D50,Import!$C:$H,3,FALSE))</f>
        <v/>
      </c>
      <c r="Q50" s="1017" t="str">
        <f>IF(VLOOKUP($C$3&amp;"-"&amp;$D50,Import!$C:$H,4,FALSE)=0,"",VLOOKUP($C$3&amp;"-"&amp;$D50,Import!$C:$H,4,FALSE))</f>
        <v/>
      </c>
      <c r="R50" s="1017" t="str">
        <f>IF(VLOOKUP($C$3&amp;"-"&amp;$D50,Import!$C:$H,5,FALSE)=0,"",VLOOKUP($C$3&amp;"-"&amp;$D50,Import!$C:$H,5,FALSE))</f>
        <v/>
      </c>
      <c r="S50" s="1018" t="str">
        <f>IF(VLOOKUP($C$3&amp;"-"&amp;$D50,Import!$C:$H,6,FALSE)=0,"",VLOOKUP($C$3&amp;"-"&amp;$D50,Import!$C:$H,6,FALSE))</f>
        <v/>
      </c>
      <c r="T50" s="157"/>
      <c r="U50" s="256"/>
    </row>
    <row r="51" spans="1:21" s="300" customFormat="1" ht="45" customHeight="1" x14ac:dyDescent="0.2">
      <c r="A51" s="309"/>
      <c r="B51" s="301"/>
      <c r="C51" s="1225"/>
      <c r="D51" s="407" t="s">
        <v>28</v>
      </c>
      <c r="E51" s="514" t="str">
        <f>IF(VLOOKUP(CONCATENATE($C$3,"-",$D51),Languages!$A:$D,1,TRUE)=CONCATENATE($C$3,"-",$D51),VLOOKUP(CONCATENATE($C$3,"-",$D51),Languages!$A:$D,Summary!$C$7,TRUE),NA())</f>
        <v>Kybertapahtumien ja -häiriöiden perusteella toteutetuista toimista otetaan opiksi ja korjaavia toimenpiteitä toteutetaan (mukaan lukien valmiussuunnitelmien päivittäminen).</v>
      </c>
      <c r="F51" s="403">
        <f t="shared" si="2"/>
        <v>0</v>
      </c>
      <c r="G51" s="489"/>
      <c r="H51" s="484"/>
      <c r="I51" s="484"/>
      <c r="J51" s="484"/>
      <c r="K51" s="493"/>
      <c r="L51" s="157"/>
      <c r="M51" s="256"/>
      <c r="N51" s="152"/>
      <c r="O51" s="996" t="str">
        <f>VLOOKUP(VLOOKUP($C$3&amp;"-"&amp;$D51,Import!$C:$D,2,FALSE),Parameters!$C$18:$F$22,Summary!$C$7,FALSE)</f>
        <v xml:space="preserve">0 - Vastaus puuttuu </v>
      </c>
      <c r="P51" s="1024" t="str">
        <f>IF(VLOOKUP($C$3&amp;"-"&amp;$D51,Import!$C:$H,3,FALSE)=0,"",VLOOKUP($C$3&amp;"-"&amp;$D51,Import!$C:$H,3,FALSE))</f>
        <v/>
      </c>
      <c r="Q51" s="1024" t="str">
        <f>IF(VLOOKUP($C$3&amp;"-"&amp;$D51,Import!$C:$H,4,FALSE)=0,"",VLOOKUP($C$3&amp;"-"&amp;$D51,Import!$C:$H,4,FALSE))</f>
        <v/>
      </c>
      <c r="R51" s="1024" t="str">
        <f>IF(VLOOKUP($C$3&amp;"-"&amp;$D51,Import!$C:$H,5,FALSE)=0,"",VLOOKUP($C$3&amp;"-"&amp;$D51,Import!$C:$H,5,FALSE))</f>
        <v/>
      </c>
      <c r="S51" s="1025" t="str">
        <f>IF(VLOOKUP($C$3&amp;"-"&amp;$D51,Import!$C:$H,6,FALSE)=0,"",VLOOKUP($C$3&amp;"-"&amp;$D51,Import!$C:$H,6,FALSE))</f>
        <v/>
      </c>
      <c r="T51" s="157"/>
      <c r="U51" s="256"/>
    </row>
    <row r="52" spans="1:21" s="300" customFormat="1" ht="51" customHeight="1" x14ac:dyDescent="0.2">
      <c r="A52" s="309"/>
      <c r="B52" s="301"/>
      <c r="C52" s="1226">
        <v>3</v>
      </c>
      <c r="D52" s="406" t="s">
        <v>244</v>
      </c>
      <c r="E52" s="507" t="str">
        <f>IF(VLOOKUP(CONCATENATE($C$3,"-",$D52),Languages!$A:$D,1,TRUE)=CONCATENATE($C$3,"-",$D52),VLOOKUP(CONCATENATE($C$3,"-",$D52),Languages!$A:$D,Summary!$C$7,TRUE),NA())</f>
        <v>Kybertapahtumien ja -häiriöiden juurisyyt analysoidaan ja korjaavia toimenpiteitä toteutetaan (mukaan lukien valmiussuunnitelmien päivittäminen).</v>
      </c>
      <c r="F52" s="396">
        <f t="shared" si="2"/>
        <v>0</v>
      </c>
      <c r="G52" s="485"/>
      <c r="H52" s="482"/>
      <c r="I52" s="482"/>
      <c r="J52" s="482"/>
      <c r="K52" s="491"/>
      <c r="L52" s="157"/>
      <c r="M52" s="256"/>
      <c r="N52" s="152"/>
      <c r="O52" s="988" t="str">
        <f>VLOOKUP(VLOOKUP($C$3&amp;"-"&amp;$D52,Import!$C:$D,2,FALSE),Parameters!$C$18:$F$22,Summary!$C$7,FALSE)</f>
        <v xml:space="preserve">0 - Vastaus puuttuu </v>
      </c>
      <c r="P52" s="1022" t="str">
        <f>IF(VLOOKUP($C$3&amp;"-"&amp;$D52,Import!$C:$H,3,FALSE)=0,"",VLOOKUP($C$3&amp;"-"&amp;$D52,Import!$C:$H,3,FALSE))</f>
        <v/>
      </c>
      <c r="Q52" s="1022" t="str">
        <f>IF(VLOOKUP($C$3&amp;"-"&amp;$D52,Import!$C:$H,4,FALSE)=0,"",VLOOKUP($C$3&amp;"-"&amp;$D52,Import!$C:$H,4,FALSE))</f>
        <v/>
      </c>
      <c r="R52" s="1022" t="str">
        <f>IF(VLOOKUP($C$3&amp;"-"&amp;$D52,Import!$C:$H,5,FALSE)=0,"",VLOOKUP($C$3&amp;"-"&amp;$D52,Import!$C:$H,5,FALSE))</f>
        <v/>
      </c>
      <c r="S52" s="1023" t="str">
        <f>IF(VLOOKUP($C$3&amp;"-"&amp;$D52,Import!$C:$H,6,FALSE)=0,"",VLOOKUP($C$3&amp;"-"&amp;$D52,Import!$C:$H,6,FALSE))</f>
        <v/>
      </c>
      <c r="T52" s="157"/>
      <c r="U52" s="256"/>
    </row>
    <row r="53" spans="1:21" s="300" customFormat="1" ht="57.6" customHeight="1" x14ac:dyDescent="0.2">
      <c r="A53" s="309"/>
      <c r="B53" s="301"/>
      <c r="C53" s="1228"/>
      <c r="D53" s="298" t="s">
        <v>277</v>
      </c>
      <c r="E53" s="508" t="str">
        <f>IF(VLOOKUP(CONCATENATE($C$3,"-",$D53),Languages!$A:$D,1,TRUE)=CONCATENATE($C$3,"-",$D53),VLOOKUP(CONCATENATE($C$3,"-",$D53),Languages!$A:$D,Summary!$C$7,TRUE),NA())</f>
        <v>Kybertapahtumiin ja -häiriöihin reagointi koordinoidaan soveltuvin osin toimittajien, viranomaisten ja muiden ulkopuolisten tahojen kanssa. Tähän kuuluu todistusaineiston kerääminen ja säilyttäminen.</v>
      </c>
      <c r="F53" s="291">
        <f t="shared" si="2"/>
        <v>0</v>
      </c>
      <c r="G53" s="311"/>
      <c r="H53" s="483"/>
      <c r="I53" s="483"/>
      <c r="J53" s="483"/>
      <c r="K53" s="492"/>
      <c r="L53" s="157"/>
      <c r="M53" s="256"/>
      <c r="N53" s="152"/>
      <c r="O53" s="991" t="str">
        <f>VLOOKUP(VLOOKUP($C$3&amp;"-"&amp;$D53,Import!$C:$D,2,FALSE),Parameters!$C$18:$F$22,Summary!$C$7,FALSE)</f>
        <v xml:space="preserve">0 - Vastaus puuttuu </v>
      </c>
      <c r="P53" s="1017" t="str">
        <f>IF(VLOOKUP($C$3&amp;"-"&amp;$D53,Import!$C:$H,3,FALSE)=0,"",VLOOKUP($C$3&amp;"-"&amp;$D53,Import!$C:$H,3,FALSE))</f>
        <v/>
      </c>
      <c r="Q53" s="1017" t="str">
        <f>IF(VLOOKUP($C$3&amp;"-"&amp;$D53,Import!$C:$H,4,FALSE)=0,"",VLOOKUP($C$3&amp;"-"&amp;$D53,Import!$C:$H,4,FALSE))</f>
        <v/>
      </c>
      <c r="R53" s="1017" t="str">
        <f>IF(VLOOKUP($C$3&amp;"-"&amp;$D53,Import!$C:$H,5,FALSE)=0,"",VLOOKUP($C$3&amp;"-"&amp;$D53,Import!$C:$H,5,FALSE))</f>
        <v/>
      </c>
      <c r="S53" s="1018" t="str">
        <f>IF(VLOOKUP($C$3&amp;"-"&amp;$D53,Import!$C:$H,6,FALSE)=0,"",VLOOKUP($C$3&amp;"-"&amp;$D53,Import!$C:$H,6,FALSE))</f>
        <v/>
      </c>
      <c r="T53" s="157"/>
      <c r="U53" s="256"/>
    </row>
    <row r="54" spans="1:21" s="300" customFormat="1" ht="56.4" customHeight="1" x14ac:dyDescent="0.2">
      <c r="A54" s="309"/>
      <c r="B54" s="301"/>
      <c r="C54" s="1228"/>
      <c r="D54" s="298" t="s">
        <v>279</v>
      </c>
      <c r="E54" s="508" t="str">
        <f>IF(VLOOKUP(CONCATENATE($C$3,"-",$D54),Languages!$A:$D,1,TRUE)=CONCATENATE($C$3,"-",$D54),VLOOKUP(CONCATENATE($C$3,"-",$D54),Languages!$A:$D,Summary!$C$7,TRUE),NA())</f>
        <v>Kybertapahtumien ja -häiriöiden käsittelyyn ja reagointiin osallistuvat työntekijät ottavat osaa yhteisiin harjoituksiin muiden organisaatioiden kanssa (esim. työpöytäharjoitukset, simulaatiot).</v>
      </c>
      <c r="F54" s="291">
        <f t="shared" si="2"/>
        <v>0</v>
      </c>
      <c r="G54" s="311"/>
      <c r="H54" s="483"/>
      <c r="I54" s="483"/>
      <c r="J54" s="483"/>
      <c r="K54" s="492"/>
      <c r="L54" s="157"/>
      <c r="M54" s="256"/>
      <c r="N54" s="152"/>
      <c r="O54" s="991" t="str">
        <f>VLOOKUP(VLOOKUP($C$3&amp;"-"&amp;$D54,Import!$C:$D,2,FALSE),Parameters!$C$18:$F$22,Summary!$C$7,FALSE)</f>
        <v xml:space="preserve">0 - Vastaus puuttuu </v>
      </c>
      <c r="P54" s="1017" t="str">
        <f>IF(VLOOKUP($C$3&amp;"-"&amp;$D54,Import!$C:$H,3,FALSE)=0,"",VLOOKUP($C$3&amp;"-"&amp;$D54,Import!$C:$H,3,FALSE))</f>
        <v/>
      </c>
      <c r="Q54" s="1017" t="str">
        <f>IF(VLOOKUP($C$3&amp;"-"&amp;$D54,Import!$C:$H,4,FALSE)=0,"",VLOOKUP($C$3&amp;"-"&amp;$D54,Import!$C:$H,4,FALSE))</f>
        <v/>
      </c>
      <c r="R54" s="1017" t="str">
        <f>IF(VLOOKUP($C$3&amp;"-"&amp;$D54,Import!$C:$H,5,FALSE)=0,"",VLOOKUP($C$3&amp;"-"&amp;$D54,Import!$C:$H,5,FALSE))</f>
        <v/>
      </c>
      <c r="S54" s="1018" t="str">
        <f>IF(VLOOKUP($C$3&amp;"-"&amp;$D54,Import!$C:$H,6,FALSE)=0,"",VLOOKUP($C$3&amp;"-"&amp;$D54,Import!$C:$H,6,FALSE))</f>
        <v/>
      </c>
      <c r="T54" s="157"/>
      <c r="U54" s="256"/>
    </row>
    <row r="55" spans="1:21" s="300" customFormat="1" ht="34.950000000000003" customHeight="1" x14ac:dyDescent="0.2">
      <c r="A55" s="309"/>
      <c r="B55" s="390"/>
      <c r="C55" s="1227"/>
      <c r="D55" s="407" t="s">
        <v>410</v>
      </c>
      <c r="E55" s="514" t="str">
        <f>IF(VLOOKUP(CONCATENATE($C$3,"-",$D55),Languages!$A:$D,1,TRUE)=CONCATENATE($C$3,"-",$D55),VLOOKUP(CONCATENATE($C$3,"-",$D55),Languages!$A:$D,Summary!$C$7,TRUE),NA())</f>
        <v>Kybertapahtumiin ja -häiriöihin reagoinnissa noudatetaan ennalta määriteltyjä toimintatiloja [kts. SITUATION-3h].</v>
      </c>
      <c r="F55" s="403">
        <f t="shared" si="2"/>
        <v>0</v>
      </c>
      <c r="G55" s="489"/>
      <c r="H55" s="484"/>
      <c r="I55" s="484"/>
      <c r="J55" s="484"/>
      <c r="K55" s="493"/>
      <c r="L55" s="157"/>
      <c r="M55" s="256"/>
      <c r="N55" s="152"/>
      <c r="O55" s="996" t="str">
        <f>VLOOKUP(VLOOKUP($C$3&amp;"-"&amp;$D55,Import!$C:$D,2,FALSE),Parameters!$C$18:$F$22,Summary!$C$7,FALSE)</f>
        <v xml:space="preserve">0 - Vastaus puuttuu </v>
      </c>
      <c r="P55" s="1024" t="str">
        <f>IF(VLOOKUP($C$3&amp;"-"&amp;$D55,Import!$C:$H,3,FALSE)=0,"",VLOOKUP($C$3&amp;"-"&amp;$D55,Import!$C:$H,3,FALSE))</f>
        <v/>
      </c>
      <c r="Q55" s="1024" t="str">
        <f>IF(VLOOKUP($C$3&amp;"-"&amp;$D55,Import!$C:$H,4,FALSE)=0,"",VLOOKUP($C$3&amp;"-"&amp;$D55,Import!$C:$H,4,FALSE))</f>
        <v/>
      </c>
      <c r="R55" s="1024" t="str">
        <f>IF(VLOOKUP($C$3&amp;"-"&amp;$D55,Import!$C:$H,5,FALSE)=0,"",VLOOKUP($C$3&amp;"-"&amp;$D55,Import!$C:$H,5,FALSE))</f>
        <v/>
      </c>
      <c r="S55" s="1025" t="str">
        <f>IF(VLOOKUP($C$3&amp;"-"&amp;$D55,Import!$C:$H,6,FALSE)=0,"",VLOOKUP($C$3&amp;"-"&amp;$D55,Import!$C:$H,6,FALSE))</f>
        <v/>
      </c>
      <c r="T55" s="157"/>
      <c r="U55" s="256"/>
    </row>
    <row r="56" spans="1:21" s="180" customFormat="1" ht="30" customHeight="1" x14ac:dyDescent="0.25">
      <c r="A56" s="169">
        <v>1</v>
      </c>
      <c r="B56" s="273"/>
      <c r="C56" s="173">
        <v>4</v>
      </c>
      <c r="D56" s="173" t="str">
        <f>IF(VLOOKUP(CONCATENATE($C$3,"-",C56),Languages!$A:$D,1,TRUE)=CONCATENATE($C$3,"-",C56),VLOOKUP(CONCATENATE($C$3,"-",C56),Languages!$A:$D,Summary!$C$7,TRUE),NA())</f>
        <v>Kyberturvallisuus osana toiminnan jatkuvuutta</v>
      </c>
      <c r="E56" s="173"/>
      <c r="F56" s="296"/>
      <c r="G56" s="1006"/>
      <c r="H56" s="1030"/>
      <c r="I56" s="1030"/>
      <c r="J56" s="1030"/>
      <c r="K56" s="1030"/>
      <c r="L56" s="157"/>
      <c r="M56" s="256"/>
      <c r="N56" s="152"/>
      <c r="O56" s="296"/>
      <c r="P56" s="297"/>
      <c r="Q56" s="297"/>
      <c r="R56" s="297"/>
      <c r="S56" s="297"/>
      <c r="T56" s="157"/>
      <c r="U56" s="256"/>
    </row>
    <row r="57" spans="1:21" s="289" customFormat="1" ht="19.95" customHeight="1" x14ac:dyDescent="0.2">
      <c r="A57" s="308"/>
      <c r="B57" s="283"/>
      <c r="C57" s="284" t="str">
        <f>IF(VLOOKUP("GEN-LEVEL",Languages!$A:$D,1,TRUE)="GEN-LEVEL",VLOOKUP("GEN-LEVEL",Languages!$A:$D,Summary!$C$7,TRUE),NA())</f>
        <v>Taso</v>
      </c>
      <c r="D57" s="284"/>
      <c r="E57" s="285" t="str">
        <f>IF(VLOOKUP("GEN-PRACTICE",Languages!$A:$D,1,TRUE)="GEN-PRACTICE",VLOOKUP("GEN-PRACTICE",Languages!$A:$D,Summary!$C$7,TRUE),NA())</f>
        <v>Käytäntö</v>
      </c>
      <c r="F57" s="286"/>
      <c r="G57" s="1003" t="str">
        <f>IF(VLOOKUP("GEN-ANSWER",Languages!$A:$D,1,TRUE)="GEN-ANSWER",VLOOKUP("GEN-ANSWER",Languages!$A:$D,Summary!$C$7,TRUE),NA())</f>
        <v>Vastaus</v>
      </c>
      <c r="H57" s="1004" t="str">
        <f>IF(VLOOKUP("KM112",Languages!$A:$D,1,TRUE)="KM112",VLOOKUP("KM112",Languages!$A:$D,Summary!$C$7,TRUE),NA())</f>
        <v>Kommentit</v>
      </c>
      <c r="I57" s="1004" t="str">
        <f>IF(VLOOKUP("KM113",Languages!$A:$D,1,TRUE)="KM113",VLOOKUP("KM113",Languages!$A:$D,Summary!$C$7,TRUE),NA())</f>
        <v>Sisäinen viittaus</v>
      </c>
      <c r="J57" s="1004" t="str">
        <f>IF(VLOOKUP("KM114",Languages!$A:$D,1,TRUE)="KM114",VLOOKUP("KM114",Languages!$A:$D,Summary!$C$7,TRUE),NA())</f>
        <v>Ulkoinen viittaus</v>
      </c>
      <c r="K57" s="1004" t="str">
        <f>IF(VLOOKUP("KM115",Languages!$A:$D,1,TRUE)="KM115",VLOOKUP("KM115",Languages!$A:$D,Summary!$C$7,TRUE),NA())</f>
        <v>Kehityskohde</v>
      </c>
      <c r="L57" s="287"/>
      <c r="M57" s="288"/>
      <c r="N57" s="283"/>
      <c r="O57" s="503" t="str">
        <f>IF(VLOOKUP("GEN-ANSWER",Languages!$A:$D,1,TRUE)="GEN-ANSWER",VLOOKUP("GEN-ANSWER",Languages!$A:$D,Summary!$C$7,TRUE),NA())</f>
        <v>Vastaus</v>
      </c>
      <c r="P57" s="503" t="str">
        <f>IF(VLOOKUP("KM112",Languages!$A:$D,1,TRUE)="KM112",VLOOKUP("KM112",Languages!$A:$D,Summary!$C$7,TRUE),NA())</f>
        <v>Kommentit</v>
      </c>
      <c r="Q57" s="503" t="str">
        <f>IF(VLOOKUP("KM113",Languages!$A:$D,1,TRUE)="KM113",VLOOKUP("KM113",Languages!$A:$D,Summary!$C$7,TRUE),NA())</f>
        <v>Sisäinen viittaus</v>
      </c>
      <c r="R57" s="503" t="str">
        <f>IF(VLOOKUP("KM114",Languages!$A:$D,1,TRUE)="KM114",VLOOKUP("KM114",Languages!$A:$D,Summary!$C$7,TRUE),NA())</f>
        <v>Ulkoinen viittaus</v>
      </c>
      <c r="S57" s="503" t="str">
        <f>IF(VLOOKUP("KM115",Languages!$A:$D,1,TRUE)="KM115",VLOOKUP("KM115",Languages!$A:$D,Summary!$C$7,TRUE),NA())</f>
        <v>Kehityskohde</v>
      </c>
      <c r="T57" s="287"/>
      <c r="U57" s="288"/>
    </row>
    <row r="58" spans="1:21" s="300" customFormat="1" ht="60" customHeight="1" x14ac:dyDescent="0.25">
      <c r="A58" s="169">
        <v>1</v>
      </c>
      <c r="B58" s="390"/>
      <c r="C58" s="1229">
        <v>1</v>
      </c>
      <c r="D58" s="406" t="s">
        <v>123</v>
      </c>
      <c r="E58" s="507" t="str">
        <f>IF(VLOOKUP(CONCATENATE($C$3,"-",$D58),Languages!$A:$D,1,TRUE)=CONCATENATE($C$3,"-",$D58),VLOOKUP(CONCATENATE($C$3,"-",$D58),Languages!$A:$D,Summary!$C$7,TRUE),NA())</f>
        <v>Organisaatio on kehittänyt toiminnan jatkuvuutta koskevat suunnitelmat, joiden avulla toiminnon toiminta voidaan säilyttää ja palauttaa, mikäli toimintaan kohdistuu kybertapahtuma tai -häiriö. Tasolla 1 tämän ei tarvitse olla systemaattista ja säännöllistä.</v>
      </c>
      <c r="F58" s="396">
        <f t="shared" ref="F58:F74" si="3">IFERROR(INT(LEFT($G58,1)),0)</f>
        <v>0</v>
      </c>
      <c r="G58" s="485"/>
      <c r="H58" s="482"/>
      <c r="I58" s="482"/>
      <c r="J58" s="482"/>
      <c r="K58" s="491"/>
      <c r="L58" s="157"/>
      <c r="M58" s="256"/>
      <c r="N58" s="152"/>
      <c r="O58" s="988" t="str">
        <f>VLOOKUP(VLOOKUP($C$3&amp;"-"&amp;$D58,Import!$C:$D,2,FALSE),Parameters!$C$18:$F$22,Summary!$C$7,FALSE)</f>
        <v xml:space="preserve">0 - Vastaus puuttuu </v>
      </c>
      <c r="P58" s="1022" t="str">
        <f>IF(VLOOKUP($C$3&amp;"-"&amp;$D58,Import!$C:$H,3,FALSE)=0,"",VLOOKUP($C$3&amp;"-"&amp;$D58,Import!$C:$H,3,FALSE))</f>
        <v/>
      </c>
      <c r="Q58" s="1022" t="str">
        <f>IF(VLOOKUP($C$3&amp;"-"&amp;$D58,Import!$C:$H,4,FALSE)=0,"",VLOOKUP($C$3&amp;"-"&amp;$D58,Import!$C:$H,4,FALSE))</f>
        <v/>
      </c>
      <c r="R58" s="1022" t="str">
        <f>IF(VLOOKUP($C$3&amp;"-"&amp;$D58,Import!$C:$H,5,FALSE)=0,"",VLOOKUP($C$3&amp;"-"&amp;$D58,Import!$C:$H,5,FALSE))</f>
        <v/>
      </c>
      <c r="S58" s="1023" t="str">
        <f>IF(VLOOKUP($C$3&amp;"-"&amp;$D58,Import!$C:$H,6,FALSE)=0,"",VLOOKUP($C$3&amp;"-"&amp;$D58,Import!$C:$H,6,FALSE))</f>
        <v/>
      </c>
      <c r="T58" s="157"/>
      <c r="U58" s="256"/>
    </row>
    <row r="59" spans="1:21" s="300" customFormat="1" ht="34.950000000000003" customHeight="1" x14ac:dyDescent="0.25">
      <c r="A59" s="169">
        <v>1</v>
      </c>
      <c r="B59" s="390"/>
      <c r="C59" s="1238"/>
      <c r="D59" s="298" t="s">
        <v>126</v>
      </c>
      <c r="E59" s="508" t="str">
        <f>IF(VLOOKUP(CONCATENATE($C$3,"-",$D59),Languages!$A:$D,1,TRUE)=CONCATENATE($C$3,"-",$D59),VLOOKUP(CONCATENATE($C$3,"-",$D59),Languages!$A:$D,Summary!$C$7,TRUE),NA())</f>
        <v>Tiedoista on saatavilla varmuuskopiot, joita testaan. Tasolla 1 tämän ei tarvitse olla systemaattista ja säännöllistä.</v>
      </c>
      <c r="F59" s="291">
        <f t="shared" si="3"/>
        <v>0</v>
      </c>
      <c r="G59" s="311"/>
      <c r="H59" s="483"/>
      <c r="I59" s="483"/>
      <c r="J59" s="483"/>
      <c r="K59" s="492"/>
      <c r="L59" s="157"/>
      <c r="M59" s="256"/>
      <c r="N59" s="152"/>
      <c r="O59" s="991" t="str">
        <f>VLOOKUP(VLOOKUP($C$3&amp;"-"&amp;$D59,Import!$C:$D,2,FALSE),Parameters!$C$18:$F$22,Summary!$C$7,FALSE)</f>
        <v xml:space="preserve">0 - Vastaus puuttuu </v>
      </c>
      <c r="P59" s="1017" t="str">
        <f>IF(VLOOKUP($C$3&amp;"-"&amp;$D59,Import!$C:$H,3,FALSE)=0,"",VLOOKUP($C$3&amp;"-"&amp;$D59,Import!$C:$H,3,FALSE))</f>
        <v/>
      </c>
      <c r="Q59" s="1017" t="str">
        <f>IF(VLOOKUP($C$3&amp;"-"&amp;$D59,Import!$C:$H,4,FALSE)=0,"",VLOOKUP($C$3&amp;"-"&amp;$D59,Import!$C:$H,4,FALSE))</f>
        <v/>
      </c>
      <c r="R59" s="1017" t="str">
        <f>IF(VLOOKUP($C$3&amp;"-"&amp;$D59,Import!$C:$H,5,FALSE)=0,"",VLOOKUP($C$3&amp;"-"&amp;$D59,Import!$C:$H,5,FALSE))</f>
        <v/>
      </c>
      <c r="S59" s="1018" t="str">
        <f>IF(VLOOKUP($C$3&amp;"-"&amp;$D59,Import!$C:$H,6,FALSE)=0,"",VLOOKUP($C$3&amp;"-"&amp;$D59,Import!$C:$H,6,FALSE))</f>
        <v/>
      </c>
      <c r="T59" s="157"/>
      <c r="U59" s="256"/>
    </row>
    <row r="60" spans="1:21" s="300" customFormat="1" ht="50.4" customHeight="1" x14ac:dyDescent="0.25">
      <c r="A60" s="169">
        <v>1</v>
      </c>
      <c r="B60" s="390"/>
      <c r="C60" s="1230"/>
      <c r="D60" s="407" t="s">
        <v>129</v>
      </c>
      <c r="E60" s="514" t="str">
        <f>IF(VLOOKUP(CONCATENATE($C$3,"-",$D60),Languages!$A:$D,1,TRUE)=CONCATENATE($C$3,"-",$D60),VLOOKUP(CONCATENATE($C$3,"-",$D60),Languages!$A:$D,Summary!$C$7,TRUE),NA())</f>
        <v>Varaosia tarvitsevat IT-laitteet (ja mahdolliset OT-laitteet) on tunnistettu. Tasolla 1 tämän ei tarvitse olla systemaattista ja säännöllistä.</v>
      </c>
      <c r="F60" s="403">
        <f t="shared" si="3"/>
        <v>0</v>
      </c>
      <c r="G60" s="489"/>
      <c r="H60" s="484"/>
      <c r="I60" s="484"/>
      <c r="J60" s="484"/>
      <c r="K60" s="493"/>
      <c r="L60" s="157"/>
      <c r="M60" s="256"/>
      <c r="N60" s="152"/>
      <c r="O60" s="996" t="str">
        <f>VLOOKUP(VLOOKUP($C$3&amp;"-"&amp;$D60,Import!$C:$D,2,FALSE),Parameters!$C$18:$F$22,Summary!$C$7,FALSE)</f>
        <v xml:space="preserve">0 - Vastaus puuttuu </v>
      </c>
      <c r="P60" s="1024" t="str">
        <f>IF(VLOOKUP($C$3&amp;"-"&amp;$D60,Import!$C:$H,3,FALSE)=0,"",VLOOKUP($C$3&amp;"-"&amp;$D60,Import!$C:$H,3,FALSE))</f>
        <v/>
      </c>
      <c r="Q60" s="1024" t="str">
        <f>IF(VLOOKUP($C$3&amp;"-"&amp;$D60,Import!$C:$H,4,FALSE)=0,"",VLOOKUP($C$3&amp;"-"&amp;$D60,Import!$C:$H,4,FALSE))</f>
        <v/>
      </c>
      <c r="R60" s="1024" t="str">
        <f>IF(VLOOKUP($C$3&amp;"-"&amp;$D60,Import!$C:$H,5,FALSE)=0,"",VLOOKUP($C$3&amp;"-"&amp;$D60,Import!$C:$H,5,FALSE))</f>
        <v/>
      </c>
      <c r="S60" s="1025" t="str">
        <f>IF(VLOOKUP($C$3&amp;"-"&amp;$D60,Import!$C:$H,6,FALSE)=0,"",VLOOKUP($C$3&amp;"-"&amp;$D60,Import!$C:$H,6,FALSE))</f>
        <v/>
      </c>
      <c r="T60" s="157"/>
      <c r="U60" s="256"/>
    </row>
    <row r="61" spans="1:21" s="300" customFormat="1" ht="34.950000000000003" customHeight="1" x14ac:dyDescent="0.25">
      <c r="A61" s="169">
        <v>1</v>
      </c>
      <c r="B61" s="390"/>
      <c r="C61" s="1224">
        <v>2</v>
      </c>
      <c r="D61" s="406" t="s">
        <v>132</v>
      </c>
      <c r="E61" s="507" t="str">
        <f>IF(VLOOKUP(CONCATENATE($C$3,"-",$D61),Languages!$A:$D,1,TRUE)=CONCATENATE($C$3,"-",$D61),VLOOKUP(CONCATENATE($C$3,"-",$D61),Languages!$A:$D,Summary!$C$7,TRUE),NA())</f>
        <v>Jatkuvuussuunnitelmien kehittämisessä huomioidaan arvio mahdollisten kybertapahtumien vaikutuksista.</v>
      </c>
      <c r="F61" s="396">
        <f t="shared" si="3"/>
        <v>0</v>
      </c>
      <c r="G61" s="485"/>
      <c r="H61" s="482"/>
      <c r="I61" s="482"/>
      <c r="J61" s="482"/>
      <c r="K61" s="491"/>
      <c r="L61" s="157"/>
      <c r="M61" s="256"/>
      <c r="N61" s="152"/>
      <c r="O61" s="988" t="str">
        <f>VLOOKUP(VLOOKUP($C$3&amp;"-"&amp;$D61,Import!$C:$D,2,FALSE),Parameters!$C$18:$F$22,Summary!$C$7,FALSE)</f>
        <v xml:space="preserve">0 - Vastaus puuttuu </v>
      </c>
      <c r="P61" s="1022" t="str">
        <f>IF(VLOOKUP($C$3&amp;"-"&amp;$D61,Import!$C:$H,3,FALSE)=0,"",VLOOKUP($C$3&amp;"-"&amp;$D61,Import!$C:$H,3,FALSE))</f>
        <v/>
      </c>
      <c r="Q61" s="1022" t="str">
        <f>IF(VLOOKUP($C$3&amp;"-"&amp;$D61,Import!$C:$H,4,FALSE)=0,"",VLOOKUP($C$3&amp;"-"&amp;$D61,Import!$C:$H,4,FALSE))</f>
        <v/>
      </c>
      <c r="R61" s="1022" t="str">
        <f>IF(VLOOKUP($C$3&amp;"-"&amp;$D61,Import!$C:$H,5,FALSE)=0,"",VLOOKUP($C$3&amp;"-"&amp;$D61,Import!$C:$H,5,FALSE))</f>
        <v/>
      </c>
      <c r="S61" s="1023" t="str">
        <f>IF(VLOOKUP($C$3&amp;"-"&amp;$D61,Import!$C:$H,6,FALSE)=0,"",VLOOKUP($C$3&amp;"-"&amp;$D61,Import!$C:$H,6,FALSE))</f>
        <v/>
      </c>
      <c r="T61" s="157"/>
      <c r="U61" s="256"/>
    </row>
    <row r="62" spans="1:21" s="300" customFormat="1" ht="52.8" customHeight="1" x14ac:dyDescent="0.25">
      <c r="A62" s="169">
        <v>1</v>
      </c>
      <c r="B62" s="390"/>
      <c r="C62" s="1237"/>
      <c r="D62" s="298" t="s">
        <v>135</v>
      </c>
      <c r="E62" s="508" t="str">
        <f>IF(VLOOKUP(CONCATENATE($C$3,"-",$D62),Languages!$A:$D,1,TRUE)=CONCATENATE($C$3,"-",$D62),VLOOKUP(CONCATENATE($C$3,"-",$D62),Languages!$A:$D,Summary!$C$7,TRUE),NA())</f>
        <v>Jatkuvuussuunnitelmissa on tunnistettu ja dokumentoitu ne laitteet, ohjelmistot ja tietovarannot sekä toiminnat, jotka minimissään tarvitaan toiminnon toiminnan ylläpitämiseksi.</v>
      </c>
      <c r="F62" s="291">
        <f t="shared" si="3"/>
        <v>0</v>
      </c>
      <c r="G62" s="311"/>
      <c r="H62" s="483"/>
      <c r="I62" s="483"/>
      <c r="J62" s="483"/>
      <c r="K62" s="492"/>
      <c r="L62" s="157"/>
      <c r="M62" s="256"/>
      <c r="N62" s="152"/>
      <c r="O62" s="991" t="str">
        <f>VLOOKUP(VLOOKUP($C$3&amp;"-"&amp;$D62,Import!$C:$D,2,FALSE),Parameters!$C$18:$F$22,Summary!$C$7,FALSE)</f>
        <v xml:space="preserve">0 - Vastaus puuttuu </v>
      </c>
      <c r="P62" s="1017" t="str">
        <f>IF(VLOOKUP($C$3&amp;"-"&amp;$D62,Import!$C:$H,3,FALSE)=0,"",VLOOKUP($C$3&amp;"-"&amp;$D62,Import!$C:$H,3,FALSE))</f>
        <v/>
      </c>
      <c r="Q62" s="1017" t="str">
        <f>IF(VLOOKUP($C$3&amp;"-"&amp;$D62,Import!$C:$H,4,FALSE)=0,"",VLOOKUP($C$3&amp;"-"&amp;$D62,Import!$C:$H,4,FALSE))</f>
        <v/>
      </c>
      <c r="R62" s="1017" t="str">
        <f>IF(VLOOKUP($C$3&amp;"-"&amp;$D62,Import!$C:$H,5,FALSE)=0,"",VLOOKUP($C$3&amp;"-"&amp;$D62,Import!$C:$H,5,FALSE))</f>
        <v/>
      </c>
      <c r="S62" s="1018" t="str">
        <f>IF(VLOOKUP($C$3&amp;"-"&amp;$D62,Import!$C:$H,6,FALSE)=0,"",VLOOKUP($C$3&amp;"-"&amp;$D62,Import!$C:$H,6,FALSE))</f>
        <v/>
      </c>
      <c r="T62" s="157"/>
      <c r="U62" s="256"/>
    </row>
    <row r="63" spans="1:21" s="300" customFormat="1" ht="72.599999999999994" customHeight="1" x14ac:dyDescent="0.25">
      <c r="A63" s="169">
        <v>1</v>
      </c>
      <c r="B63" s="390"/>
      <c r="C63" s="1237"/>
      <c r="D63" s="298" t="s">
        <v>137</v>
      </c>
      <c r="E63" s="508" t="str">
        <f>IF(VLOOKUP(CONCATENATE($C$3,"-",$D63),Languages!$A:$D,1,TRUE)=CONCATENATE($C$3,"-",$D63),VLOOKUP(CONCATENATE($C$3,"-",$D63),Languages!$A:$D,Summary!$C$7,TRUE),NA())</f>
        <v>Jatkuvuussuunnitelmat käsittelevät toiminnon kannalta tärkeät laitteet, ohjelmistot ja tietovarannot. Mukaan lukien varmuuskopioiden saatavuuden sekä korvaavat, varmennetut ja varalla olevat laitteet ja ohjelmistot. (Huomioi myös mahdolliset OT-laitteet, -ohjelmistot ja tietovarannot).</v>
      </c>
      <c r="F63" s="291">
        <f t="shared" si="3"/>
        <v>0</v>
      </c>
      <c r="G63" s="311"/>
      <c r="H63" s="483"/>
      <c r="I63" s="483"/>
      <c r="J63" s="483"/>
      <c r="K63" s="492"/>
      <c r="L63" s="157"/>
      <c r="M63" s="256"/>
      <c r="N63" s="152"/>
      <c r="O63" s="991" t="str">
        <f>VLOOKUP(VLOOKUP($C$3&amp;"-"&amp;$D63,Import!$C:$D,2,FALSE),Parameters!$C$18:$F$22,Summary!$C$7,FALSE)</f>
        <v xml:space="preserve">0 - Vastaus puuttuu </v>
      </c>
      <c r="P63" s="1017" t="str">
        <f>IF(VLOOKUP($C$3&amp;"-"&amp;$D63,Import!$C:$H,3,FALSE)=0,"",VLOOKUP($C$3&amp;"-"&amp;$D63,Import!$C:$H,3,FALSE))</f>
        <v/>
      </c>
      <c r="Q63" s="1017" t="str">
        <f>IF(VLOOKUP($C$3&amp;"-"&amp;$D63,Import!$C:$H,4,FALSE)=0,"",VLOOKUP($C$3&amp;"-"&amp;$D63,Import!$C:$H,4,FALSE))</f>
        <v/>
      </c>
      <c r="R63" s="1017" t="str">
        <f>IF(VLOOKUP($C$3&amp;"-"&amp;$D63,Import!$C:$H,5,FALSE)=0,"",VLOOKUP($C$3&amp;"-"&amp;$D63,Import!$C:$H,5,FALSE))</f>
        <v/>
      </c>
      <c r="S63" s="1018" t="str">
        <f>IF(VLOOKUP($C$3&amp;"-"&amp;$D63,Import!$C:$H,6,FALSE)=0,"",VLOOKUP($C$3&amp;"-"&amp;$D63,Import!$C:$H,6,FALSE))</f>
        <v/>
      </c>
      <c r="T63" s="157"/>
      <c r="U63" s="256"/>
    </row>
    <row r="64" spans="1:21" s="300" customFormat="1" ht="45" customHeight="1" x14ac:dyDescent="0.25">
      <c r="A64" s="169">
        <v>1</v>
      </c>
      <c r="B64" s="390"/>
      <c r="C64" s="1237"/>
      <c r="D64" s="298" t="s">
        <v>252</v>
      </c>
      <c r="E64" s="508" t="str">
        <f>IF(VLOOKUP(CONCATENATE($C$3,"-",$D64),Languages!$A:$D,1,TRUE)=CONCATENATE($C$3,"-",$D64),VLOOKUP(CONCATENATE($C$3,"-",$D64),Languages!$A:$D,Summary!$C$7,TRUE),NA())</f>
        <v>Jatkuvuussuunnitelmat testataan arvioimalla ja/tai harjoittelemalla aika ajoin ja määriteltyjen tilanteiden kuten järjestelmämuutosten tai ulkoisten tapahtumien yhteydessä.</v>
      </c>
      <c r="F64" s="291">
        <f t="shared" si="3"/>
        <v>0</v>
      </c>
      <c r="G64" s="311"/>
      <c r="H64" s="483"/>
      <c r="I64" s="483"/>
      <c r="J64" s="483"/>
      <c r="K64" s="492"/>
      <c r="L64" s="157"/>
      <c r="M64" s="256"/>
      <c r="N64" s="152"/>
      <c r="O64" s="991" t="str">
        <f>VLOOKUP(VLOOKUP($C$3&amp;"-"&amp;$D64,Import!$C:$D,2,FALSE),Parameters!$C$18:$F$22,Summary!$C$7,FALSE)</f>
        <v xml:space="preserve">0 - Vastaus puuttuu </v>
      </c>
      <c r="P64" s="1017" t="str">
        <f>IF(VLOOKUP($C$3&amp;"-"&amp;$D64,Import!$C:$H,3,FALSE)=0,"",VLOOKUP($C$3&amp;"-"&amp;$D64,Import!$C:$H,3,FALSE))</f>
        <v/>
      </c>
      <c r="Q64" s="1017" t="str">
        <f>IF(VLOOKUP($C$3&amp;"-"&amp;$D64,Import!$C:$H,4,FALSE)=0,"",VLOOKUP($C$3&amp;"-"&amp;$D64,Import!$C:$H,4,FALSE))</f>
        <v/>
      </c>
      <c r="R64" s="1017" t="str">
        <f>IF(VLOOKUP($C$3&amp;"-"&amp;$D64,Import!$C:$H,5,FALSE)=0,"",VLOOKUP($C$3&amp;"-"&amp;$D64,Import!$C:$H,5,FALSE))</f>
        <v/>
      </c>
      <c r="S64" s="1018" t="str">
        <f>IF(VLOOKUP($C$3&amp;"-"&amp;$D64,Import!$C:$H,6,FALSE)=0,"",VLOOKUP($C$3&amp;"-"&amp;$D64,Import!$C:$H,6,FALSE))</f>
        <v/>
      </c>
      <c r="T64" s="157"/>
      <c r="U64" s="256"/>
    </row>
    <row r="65" spans="1:21" s="300" customFormat="1" ht="34.950000000000003" customHeight="1" x14ac:dyDescent="0.25">
      <c r="A65" s="169">
        <v>1</v>
      </c>
      <c r="B65" s="390"/>
      <c r="C65" s="1237"/>
      <c r="D65" s="298" t="s">
        <v>369</v>
      </c>
      <c r="E65" s="508" t="str">
        <f>IF(VLOOKUP(CONCATENATE($C$3,"-",$D65),Languages!$A:$D,1,TRUE)=CONCATENATE($C$3,"-",$D65),VLOOKUP(CONCATENATE($C$3,"-",$D65),Languages!$A:$D,Summary!$C$7,TRUE),NA())</f>
        <v>Varmuuskopiot suojataan vähintään yhtä hyvin mekanismein kuin alkuperäinen tietovaranto on suojattu.</v>
      </c>
      <c r="F65" s="291">
        <f t="shared" si="3"/>
        <v>0</v>
      </c>
      <c r="G65" s="311"/>
      <c r="H65" s="483"/>
      <c r="I65" s="483"/>
      <c r="J65" s="483"/>
      <c r="K65" s="492"/>
      <c r="L65" s="157"/>
      <c r="M65" s="256"/>
      <c r="N65" s="152"/>
      <c r="O65" s="991" t="str">
        <f>VLOOKUP(VLOOKUP($C$3&amp;"-"&amp;$D65,Import!$C:$D,2,FALSE),Parameters!$C$18:$F$22,Summary!$C$7,FALSE)</f>
        <v xml:space="preserve">0 - Vastaus puuttuu </v>
      </c>
      <c r="P65" s="1017" t="str">
        <f>IF(VLOOKUP($C$3&amp;"-"&amp;$D65,Import!$C:$H,3,FALSE)=0,"",VLOOKUP($C$3&amp;"-"&amp;$D65,Import!$C:$H,3,FALSE))</f>
        <v/>
      </c>
      <c r="Q65" s="1017" t="str">
        <f>IF(VLOOKUP($C$3&amp;"-"&amp;$D65,Import!$C:$H,4,FALSE)=0,"",VLOOKUP($C$3&amp;"-"&amp;$D65,Import!$C:$H,4,FALSE))</f>
        <v/>
      </c>
      <c r="R65" s="1017" t="str">
        <f>IF(VLOOKUP($C$3&amp;"-"&amp;$D65,Import!$C:$H,5,FALSE)=0,"",VLOOKUP($C$3&amp;"-"&amp;$D65,Import!$C:$H,5,FALSE))</f>
        <v/>
      </c>
      <c r="S65" s="1018" t="str">
        <f>IF(VLOOKUP($C$3&amp;"-"&amp;$D65,Import!$C:$H,6,FALSE)=0,"",VLOOKUP($C$3&amp;"-"&amp;$D65,Import!$C:$H,6,FALSE))</f>
        <v/>
      </c>
      <c r="T65" s="157"/>
      <c r="U65" s="256"/>
    </row>
    <row r="66" spans="1:21" s="300" customFormat="1" ht="34.950000000000003" customHeight="1" x14ac:dyDescent="0.25">
      <c r="A66" s="169">
        <v>1</v>
      </c>
      <c r="B66" s="390"/>
      <c r="C66" s="1237"/>
      <c r="D66" s="298" t="s">
        <v>371</v>
      </c>
      <c r="E66" s="508" t="str">
        <f>IF(VLOOKUP(CONCATENATE($C$3,"-",$D66),Languages!$A:$D,1,TRUE)=CONCATENATE($C$3,"-",$D66),VLOOKUP(CONCATENATE($C$3,"-",$D66),Languages!$A:$D,Summary!$C$7,TRUE),NA())</f>
        <v>Varmuuskopiot on erotettu loogisesti tai fyysisesti alkuperäisestä tietovarannosta.</v>
      </c>
      <c r="F66" s="291">
        <f t="shared" si="3"/>
        <v>0</v>
      </c>
      <c r="G66" s="311"/>
      <c r="H66" s="483"/>
      <c r="I66" s="483"/>
      <c r="J66" s="483"/>
      <c r="K66" s="492"/>
      <c r="L66" s="157"/>
      <c r="M66" s="256"/>
      <c r="N66" s="152"/>
      <c r="O66" s="991" t="str">
        <f>VLOOKUP(VLOOKUP($C$3&amp;"-"&amp;$D66,Import!$C:$D,2,FALSE),Parameters!$C$18:$F$22,Summary!$C$7,FALSE)</f>
        <v xml:space="preserve">0 - Vastaus puuttuu </v>
      </c>
      <c r="P66" s="1017" t="str">
        <f>IF(VLOOKUP($C$3&amp;"-"&amp;$D66,Import!$C:$H,3,FALSE)=0,"",VLOOKUP($C$3&amp;"-"&amp;$D66,Import!$C:$H,3,FALSE))</f>
        <v/>
      </c>
      <c r="Q66" s="1017" t="str">
        <f>IF(VLOOKUP($C$3&amp;"-"&amp;$D66,Import!$C:$H,4,FALSE)=0,"",VLOOKUP($C$3&amp;"-"&amp;$D66,Import!$C:$H,4,FALSE))</f>
        <v/>
      </c>
      <c r="R66" s="1017" t="str">
        <f>IF(VLOOKUP($C$3&amp;"-"&amp;$D66,Import!$C:$H,5,FALSE)=0,"",VLOOKUP($C$3&amp;"-"&amp;$D66,Import!$C:$H,5,FALSE))</f>
        <v/>
      </c>
      <c r="S66" s="1018" t="str">
        <f>IF(VLOOKUP($C$3&amp;"-"&amp;$D66,Import!$C:$H,6,FALSE)=0,"",VLOOKUP($C$3&amp;"-"&amp;$D66,Import!$C:$H,6,FALSE))</f>
        <v/>
      </c>
      <c r="T66" s="157"/>
      <c r="U66" s="256"/>
    </row>
    <row r="67" spans="1:21" s="300" customFormat="1" ht="34.950000000000003" customHeight="1" x14ac:dyDescent="0.25">
      <c r="A67" s="169">
        <v>1</v>
      </c>
      <c r="B67" s="390"/>
      <c r="C67" s="1237"/>
      <c r="D67" s="298" t="s">
        <v>1104</v>
      </c>
      <c r="E67" s="508" t="str">
        <f>IF(VLOOKUP(CONCATENATE($C$3,"-",$D67),Languages!$A:$D,1,TRUE)=CONCATENATE($C$3,"-",$D67),VLOOKUP(CONCATENATE($C$3,"-",$D67),Languages!$A:$D,Summary!$C$7,TRUE),NA())</f>
        <v>Varaosia on saatavilla niitä tarvitseviin IT-laitteisiin (ja mahdollisiin OT-laitteisiin).</v>
      </c>
      <c r="F67" s="291">
        <f t="shared" si="3"/>
        <v>0</v>
      </c>
      <c r="G67" s="311"/>
      <c r="H67" s="483"/>
      <c r="I67" s="483"/>
      <c r="J67" s="483"/>
      <c r="K67" s="492"/>
      <c r="L67" s="157"/>
      <c r="M67" s="256"/>
      <c r="N67" s="152"/>
      <c r="O67" s="991" t="str">
        <f>VLOOKUP(VLOOKUP($C$3&amp;"-"&amp;$D67,Import!$C:$D,2,FALSE),Parameters!$C$18:$F$22,Summary!$C$7,FALSE)</f>
        <v xml:space="preserve">0 - Vastaus puuttuu </v>
      </c>
      <c r="P67" s="1017" t="str">
        <f>IF(VLOOKUP($C$3&amp;"-"&amp;$D67,Import!$C:$H,3,FALSE)=0,"",VLOOKUP($C$3&amp;"-"&amp;$D67,Import!$C:$H,3,FALSE))</f>
        <v/>
      </c>
      <c r="Q67" s="1017" t="str">
        <f>IF(VLOOKUP($C$3&amp;"-"&amp;$D67,Import!$C:$H,4,FALSE)=0,"",VLOOKUP($C$3&amp;"-"&amp;$D67,Import!$C:$H,4,FALSE))</f>
        <v/>
      </c>
      <c r="R67" s="1017" t="str">
        <f>IF(VLOOKUP($C$3&amp;"-"&amp;$D67,Import!$C:$H,5,FALSE)=0,"",VLOOKUP($C$3&amp;"-"&amp;$D67,Import!$C:$H,5,FALSE))</f>
        <v/>
      </c>
      <c r="S67" s="1018" t="str">
        <f>IF(VLOOKUP($C$3&amp;"-"&amp;$D67,Import!$C:$H,6,FALSE)=0,"",VLOOKUP($C$3&amp;"-"&amp;$D67,Import!$C:$H,6,FALSE))</f>
        <v/>
      </c>
      <c r="T67" s="157"/>
      <c r="U67" s="256"/>
    </row>
    <row r="68" spans="1:21" s="300" customFormat="1" ht="64.2" customHeight="1" x14ac:dyDescent="0.25">
      <c r="A68" s="169">
        <v>1</v>
      </c>
      <c r="B68" s="390"/>
      <c r="C68" s="1237"/>
      <c r="D68" s="298" t="s">
        <v>1105</v>
      </c>
      <c r="E68" s="508" t="str">
        <f>IF(VLOOKUP(CONCATENATE($C$3,"-",$D68),Languages!$A:$D,1,TRUE)=CONCATENATE($C$3,"-",$D68),VLOOKUP(CONCATENATE($C$3,"-",$D68),Languages!$A:$D,Summary!$C$7,TRUE),NA())</f>
        <v>Jatkuvuussuunnitelmiin kuuluu toipumisajan ("RTO, Recovery Time Objective") ja toipumispisteen ("Recovery Point Objective, RPO") määrittely toiminnon kannalta tärkeille laitteille, ohjelmistoille ja tietovarannoille [kts. ASSET-1a, ASSET-2a].</v>
      </c>
      <c r="F68" s="291">
        <f t="shared" si="3"/>
        <v>0</v>
      </c>
      <c r="G68" s="311"/>
      <c r="H68" s="483"/>
      <c r="I68" s="483"/>
      <c r="J68" s="483"/>
      <c r="K68" s="492"/>
      <c r="L68" s="157"/>
      <c r="M68" s="256"/>
      <c r="N68" s="152"/>
      <c r="O68" s="991" t="str">
        <f>VLOOKUP(VLOOKUP($C$3&amp;"-"&amp;$D68,Import!$C:$D,2,FALSE),Parameters!$C$18:$F$22,Summary!$C$7,FALSE)</f>
        <v xml:space="preserve">0 - Vastaus puuttuu </v>
      </c>
      <c r="P68" s="1017" t="str">
        <f>IF(VLOOKUP($C$3&amp;"-"&amp;$D68,Import!$C:$H,3,FALSE)=0,"",VLOOKUP($C$3&amp;"-"&amp;$D68,Import!$C:$H,3,FALSE))</f>
        <v/>
      </c>
      <c r="Q68" s="1017" t="str">
        <f>IF(VLOOKUP($C$3&amp;"-"&amp;$D68,Import!$C:$H,4,FALSE)=0,"",VLOOKUP($C$3&amp;"-"&amp;$D68,Import!$C:$H,4,FALSE))</f>
        <v/>
      </c>
      <c r="R68" s="1017" t="str">
        <f>IF(VLOOKUP($C$3&amp;"-"&amp;$D68,Import!$C:$H,5,FALSE)=0,"",VLOOKUP($C$3&amp;"-"&amp;$D68,Import!$C:$H,5,FALSE))</f>
        <v/>
      </c>
      <c r="S68" s="1018" t="str">
        <f>IF(VLOOKUP($C$3&amp;"-"&amp;$D68,Import!$C:$H,6,FALSE)=0,"",VLOOKUP($C$3&amp;"-"&amp;$D68,Import!$C:$H,6,FALSE))</f>
        <v/>
      </c>
      <c r="T68" s="157"/>
      <c r="U68" s="256"/>
    </row>
    <row r="69" spans="1:21" s="300" customFormat="1" ht="61.8" customHeight="1" x14ac:dyDescent="0.25">
      <c r="A69" s="169">
        <v>1</v>
      </c>
      <c r="B69" s="390"/>
      <c r="C69" s="1225"/>
      <c r="D69" s="407" t="s">
        <v>1106</v>
      </c>
      <c r="E69" s="514" t="str">
        <f>IF(VLOOKUP(CONCATENATE($C$3,"-",$D69),Languages!$A:$D,1,TRUE)=CONCATENATE($C$3,"-",$D69),VLOOKUP(CONCATENATE($C$3,"-",$D69),Languages!$A:$D,Summary!$C$7,TRUE),NA())</f>
        <v>Jatkuvuussuunnitelman käyttöönottamisen kriteerit kyberhäiriötilanteissa on määritetty ja viestitty häiriöiden käsittelystä ja valmiussuunnitelmista vastuussa oleville työntekijöille.</v>
      </c>
      <c r="F69" s="403">
        <f t="shared" si="3"/>
        <v>0</v>
      </c>
      <c r="G69" s="489"/>
      <c r="H69" s="484"/>
      <c r="I69" s="484"/>
      <c r="J69" s="484"/>
      <c r="K69" s="493"/>
      <c r="L69" s="157"/>
      <c r="M69" s="256"/>
      <c r="N69" s="152"/>
      <c r="O69" s="996" t="str">
        <f>VLOOKUP(VLOOKUP($C$3&amp;"-"&amp;$D69,Import!$C:$D,2,FALSE),Parameters!$C$18:$F$22,Summary!$C$7,FALSE)</f>
        <v xml:space="preserve">0 - Vastaus puuttuu </v>
      </c>
      <c r="P69" s="1024" t="str">
        <f>IF(VLOOKUP($C$3&amp;"-"&amp;$D69,Import!$C:$H,3,FALSE)=0,"",VLOOKUP($C$3&amp;"-"&amp;$D69,Import!$C:$H,3,FALSE))</f>
        <v/>
      </c>
      <c r="Q69" s="1024" t="str">
        <f>IF(VLOOKUP($C$3&amp;"-"&amp;$D69,Import!$C:$H,4,FALSE)=0,"",VLOOKUP($C$3&amp;"-"&amp;$D69,Import!$C:$H,4,FALSE))</f>
        <v/>
      </c>
      <c r="R69" s="1024" t="str">
        <f>IF(VLOOKUP($C$3&amp;"-"&amp;$D69,Import!$C:$H,5,FALSE)=0,"",VLOOKUP($C$3&amp;"-"&amp;$D69,Import!$C:$H,5,FALSE))</f>
        <v/>
      </c>
      <c r="S69" s="1025" t="str">
        <f>IF(VLOOKUP($C$3&amp;"-"&amp;$D69,Import!$C:$H,6,FALSE)=0,"",VLOOKUP($C$3&amp;"-"&amp;$D69,Import!$C:$H,6,FALSE))</f>
        <v/>
      </c>
      <c r="T69" s="157"/>
      <c r="U69" s="256"/>
    </row>
    <row r="70" spans="1:21" s="300" customFormat="1" ht="52.8" customHeight="1" x14ac:dyDescent="0.25">
      <c r="A70" s="169">
        <v>1</v>
      </c>
      <c r="B70" s="390"/>
      <c r="C70" s="1226">
        <v>3</v>
      </c>
      <c r="D70" s="406" t="s">
        <v>1107</v>
      </c>
      <c r="E70" s="507" t="str">
        <f>IF(VLOOKUP(CONCATENATE($C$3,"-",$D70),Languages!$A:$D,1,TRUE)=CONCATENATE($C$3,"-",$D70),VLOOKUP(CONCATENATE($C$3,"-",$D70),Languages!$A:$D,Summary!$C$7,TRUE),NA())</f>
        <v>Jatkuvuussuunnitelmat ovat linjassa tunnistettujen riskien kanssa [kts. RISK-2a] ja organisaation uhkaprofiiliin [kts. THREAT-2d], jotta huomioidaan tunnistetut riskikategoriat ja uhat.</v>
      </c>
      <c r="F70" s="396">
        <f t="shared" si="3"/>
        <v>0</v>
      </c>
      <c r="G70" s="485"/>
      <c r="H70" s="482"/>
      <c r="I70" s="482"/>
      <c r="J70" s="482"/>
      <c r="K70" s="491"/>
      <c r="L70" s="157"/>
      <c r="M70" s="256"/>
      <c r="N70" s="152"/>
      <c r="O70" s="988" t="str">
        <f>VLOOKUP(VLOOKUP($C$3&amp;"-"&amp;$D70,Import!$C:$D,2,FALSE),Parameters!$C$18:$F$22,Summary!$C$7,FALSE)</f>
        <v xml:space="preserve">0 - Vastaus puuttuu </v>
      </c>
      <c r="P70" s="1022" t="str">
        <f>IF(VLOOKUP($C$3&amp;"-"&amp;$D70,Import!$C:$H,3,FALSE)=0,"",VLOOKUP($C$3&amp;"-"&amp;$D70,Import!$C:$H,3,FALSE))</f>
        <v/>
      </c>
      <c r="Q70" s="1022" t="str">
        <f>IF(VLOOKUP($C$3&amp;"-"&amp;$D70,Import!$C:$H,4,FALSE)=0,"",VLOOKUP($C$3&amp;"-"&amp;$D70,Import!$C:$H,4,FALSE))</f>
        <v/>
      </c>
      <c r="R70" s="1022" t="str">
        <f>IF(VLOOKUP($C$3&amp;"-"&amp;$D70,Import!$C:$H,5,FALSE)=0,"",VLOOKUP($C$3&amp;"-"&amp;$D70,Import!$C:$H,5,FALSE))</f>
        <v/>
      </c>
      <c r="S70" s="1023" t="str">
        <f>IF(VLOOKUP($C$3&amp;"-"&amp;$D70,Import!$C:$H,6,FALSE)=0,"",VLOOKUP($C$3&amp;"-"&amp;$D70,Import!$C:$H,6,FALSE))</f>
        <v/>
      </c>
      <c r="T70" s="157"/>
      <c r="U70" s="256"/>
    </row>
    <row r="71" spans="1:21" s="300" customFormat="1" ht="34.950000000000003" customHeight="1" x14ac:dyDescent="0.2">
      <c r="A71" s="309"/>
      <c r="B71" s="390"/>
      <c r="C71" s="1228"/>
      <c r="D71" s="298" t="s">
        <v>1108</v>
      </c>
      <c r="E71" s="508" t="str">
        <f>IF(VLOOKUP(CONCATENATE($C$3,"-",$D71),Languages!$A:$D,1,TRUE)=CONCATENATE($C$3,"-",$D71),VLOOKUP(CONCATENATE($C$3,"-",$D71),Languages!$A:$D,Summary!$C$7,TRUE),NA())</f>
        <v>Jatkuvuusharjoituksissa käsitellään korkean prioriteetin riskit [kts. RISK-3a].</v>
      </c>
      <c r="F71" s="291">
        <f t="shared" si="3"/>
        <v>0</v>
      </c>
      <c r="G71" s="311"/>
      <c r="H71" s="483"/>
      <c r="I71" s="483"/>
      <c r="J71" s="483"/>
      <c r="K71" s="492"/>
      <c r="L71" s="157"/>
      <c r="M71" s="256"/>
      <c r="N71" s="152"/>
      <c r="O71" s="991" t="str">
        <f>VLOOKUP(VLOOKUP($C$3&amp;"-"&amp;$D71,Import!$C:$D,2,FALSE),Parameters!$C$18:$F$22,Summary!$C$7,FALSE)</f>
        <v xml:space="preserve">0 - Vastaus puuttuu </v>
      </c>
      <c r="P71" s="1017" t="str">
        <f>IF(VLOOKUP($C$3&amp;"-"&amp;$D71,Import!$C:$H,3,FALSE)=0,"",VLOOKUP($C$3&amp;"-"&amp;$D71,Import!$C:$H,3,FALSE))</f>
        <v/>
      </c>
      <c r="Q71" s="1017" t="str">
        <f>IF(VLOOKUP($C$3&amp;"-"&amp;$D71,Import!$C:$H,4,FALSE)=0,"",VLOOKUP($C$3&amp;"-"&amp;$D71,Import!$C:$H,4,FALSE))</f>
        <v/>
      </c>
      <c r="R71" s="1017" t="str">
        <f>IF(VLOOKUP($C$3&amp;"-"&amp;$D71,Import!$C:$H,5,FALSE)=0,"",VLOOKUP($C$3&amp;"-"&amp;$D71,Import!$C:$H,5,FALSE))</f>
        <v/>
      </c>
      <c r="S71" s="1018" t="str">
        <f>IF(VLOOKUP($C$3&amp;"-"&amp;$D71,Import!$C:$H,6,FALSE)=0,"",VLOOKUP($C$3&amp;"-"&amp;$D71,Import!$C:$H,6,FALSE))</f>
        <v/>
      </c>
      <c r="T71" s="157"/>
      <c r="U71" s="256"/>
    </row>
    <row r="72" spans="1:21" s="300" customFormat="1" ht="49.2" customHeight="1" x14ac:dyDescent="0.2">
      <c r="A72" s="309"/>
      <c r="B72" s="390"/>
      <c r="C72" s="1228"/>
      <c r="D72" s="298" t="s">
        <v>1109</v>
      </c>
      <c r="E72" s="508" t="str">
        <f>IF(VLOOKUP(CONCATENATE($C$3,"-",$D72),Languages!$A:$D,1,TRUE)=CONCATENATE($C$3,"-",$D72),VLOOKUP(CONCATENATE($C$3,"-",$D72),Languages!$A:$D,Summary!$C$7,TRUE),NA())</f>
        <v>Jatkuvuussuunnitelmien testauksesta tai tositilanteista saatuja havaintoja verrataan asetettuihin toipumistavoitteisiin ja suunnitelmia kehitetään näiden havaintojen perusteella.</v>
      </c>
      <c r="F72" s="291">
        <f t="shared" si="3"/>
        <v>0</v>
      </c>
      <c r="G72" s="311"/>
      <c r="H72" s="483"/>
      <c r="I72" s="483"/>
      <c r="J72" s="483"/>
      <c r="K72" s="492"/>
      <c r="L72" s="157"/>
      <c r="M72" s="256"/>
      <c r="N72" s="152"/>
      <c r="O72" s="991" t="str">
        <f>VLOOKUP(VLOOKUP($C$3&amp;"-"&amp;$D72,Import!$C:$D,2,FALSE),Parameters!$C$18:$F$22,Summary!$C$7,FALSE)</f>
        <v xml:space="preserve">0 - Vastaus puuttuu </v>
      </c>
      <c r="P72" s="1017" t="str">
        <f>IF(VLOOKUP($C$3&amp;"-"&amp;$D72,Import!$C:$H,3,FALSE)=0,"",VLOOKUP($C$3&amp;"-"&amp;$D72,Import!$C:$H,3,FALSE))</f>
        <v/>
      </c>
      <c r="Q72" s="1017" t="str">
        <f>IF(VLOOKUP($C$3&amp;"-"&amp;$D72,Import!$C:$H,4,FALSE)=0,"",VLOOKUP($C$3&amp;"-"&amp;$D72,Import!$C:$H,4,FALSE))</f>
        <v/>
      </c>
      <c r="R72" s="1017" t="str">
        <f>IF(VLOOKUP($C$3&amp;"-"&amp;$D72,Import!$C:$H,5,FALSE)=0,"",VLOOKUP($C$3&amp;"-"&amp;$D72,Import!$C:$H,5,FALSE))</f>
        <v/>
      </c>
      <c r="S72" s="1018" t="str">
        <f>IF(VLOOKUP($C$3&amp;"-"&amp;$D72,Import!$C:$H,6,FALSE)=0,"",VLOOKUP($C$3&amp;"-"&amp;$D72,Import!$C:$H,6,FALSE))</f>
        <v/>
      </c>
      <c r="T72" s="157"/>
      <c r="U72" s="256"/>
    </row>
    <row r="73" spans="1:21" s="300" customFormat="1" ht="34.950000000000003" customHeight="1" x14ac:dyDescent="0.2">
      <c r="A73" s="309"/>
      <c r="B73" s="390"/>
      <c r="C73" s="1228"/>
      <c r="D73" s="298" t="s">
        <v>1110</v>
      </c>
      <c r="E73" s="508" t="str">
        <f>IF(VLOOKUP(CONCATENATE($C$3,"-",$D73),Languages!$A:$D,1,TRUE)=CONCATENATE($C$3,"-",$D73),VLOOKUP(CONCATENATE($C$3,"-",$D73),Languages!$A:$D,Summary!$C$7,TRUE),NA())</f>
        <v>Jatkuvuussuunnitelmien kyberhäiriöihin liittyvä sisältö tarkastetaan ja päivitetään aika ajoin.</v>
      </c>
      <c r="F73" s="291">
        <f t="shared" si="3"/>
        <v>0</v>
      </c>
      <c r="G73" s="311"/>
      <c r="H73" s="483"/>
      <c r="I73" s="483"/>
      <c r="J73" s="483"/>
      <c r="K73" s="492"/>
      <c r="L73" s="157"/>
      <c r="M73" s="256"/>
      <c r="N73" s="152"/>
      <c r="O73" s="991" t="str">
        <f>VLOOKUP(VLOOKUP($C$3&amp;"-"&amp;$D73,Import!$C:$D,2,FALSE),Parameters!$C$18:$F$22,Summary!$C$7,FALSE)</f>
        <v xml:space="preserve">0 - Vastaus puuttuu </v>
      </c>
      <c r="P73" s="1017" t="str">
        <f>IF(VLOOKUP($C$3&amp;"-"&amp;$D73,Import!$C:$H,3,FALSE)=0,"",VLOOKUP($C$3&amp;"-"&amp;$D73,Import!$C:$H,3,FALSE))</f>
        <v/>
      </c>
      <c r="Q73" s="1017" t="str">
        <f>IF(VLOOKUP($C$3&amp;"-"&amp;$D73,Import!$C:$H,4,FALSE)=0,"",VLOOKUP($C$3&amp;"-"&amp;$D73,Import!$C:$H,4,FALSE))</f>
        <v/>
      </c>
      <c r="R73" s="1017" t="str">
        <f>IF(VLOOKUP($C$3&amp;"-"&amp;$D73,Import!$C:$H,5,FALSE)=0,"",VLOOKUP($C$3&amp;"-"&amp;$D73,Import!$C:$H,5,FALSE))</f>
        <v/>
      </c>
      <c r="S73" s="1018" t="str">
        <f>IF(VLOOKUP($C$3&amp;"-"&amp;$D73,Import!$C:$H,6,FALSE)=0,"",VLOOKUP($C$3&amp;"-"&amp;$D73,Import!$C:$H,6,FALSE))</f>
        <v/>
      </c>
      <c r="T73" s="157"/>
      <c r="U73" s="256"/>
    </row>
    <row r="74" spans="1:21" s="300" customFormat="1" ht="34.950000000000003" customHeight="1" x14ac:dyDescent="0.2">
      <c r="A74" s="309"/>
      <c r="B74" s="390"/>
      <c r="C74" s="1227"/>
      <c r="D74" s="407" t="s">
        <v>1111</v>
      </c>
      <c r="E74" s="514" t="str">
        <f>IF(VLOOKUP(CONCATENATE($C$3,"-",$D74),Languages!$A:$D,1,TRUE)=CONCATENATE($C$3,"-",$D74),VLOOKUP(CONCATENATE($C$3,"-",$D74),Languages!$A:$D,Summary!$C$7,TRUE),NA())</f>
        <v>Jatkuvuussuunnitelmat tarkastetaan ja päivitetään aika ajoin.</v>
      </c>
      <c r="F74" s="403">
        <f t="shared" si="3"/>
        <v>0</v>
      </c>
      <c r="G74" s="489"/>
      <c r="H74" s="484"/>
      <c r="I74" s="484"/>
      <c r="J74" s="484"/>
      <c r="K74" s="493"/>
      <c r="L74" s="157"/>
      <c r="M74" s="256"/>
      <c r="N74" s="152"/>
      <c r="O74" s="996" t="str">
        <f>VLOOKUP(VLOOKUP($C$3&amp;"-"&amp;$D74,Import!$C:$D,2,FALSE),Parameters!$C$18:$F$22,Summary!$C$7,FALSE)</f>
        <v xml:space="preserve">0 - Vastaus puuttuu </v>
      </c>
      <c r="P74" s="1024" t="str">
        <f>IF(VLOOKUP($C$3&amp;"-"&amp;$D74,Import!$C:$H,3,FALSE)=0,"",VLOOKUP($C$3&amp;"-"&amp;$D74,Import!$C:$H,3,FALSE))</f>
        <v/>
      </c>
      <c r="Q74" s="1024" t="str">
        <f>IF(VLOOKUP($C$3&amp;"-"&amp;$D74,Import!$C:$H,4,FALSE)=0,"",VLOOKUP($C$3&amp;"-"&amp;$D74,Import!$C:$H,4,FALSE))</f>
        <v/>
      </c>
      <c r="R74" s="1024" t="str">
        <f>IF(VLOOKUP($C$3&amp;"-"&amp;$D74,Import!$C:$H,5,FALSE)=0,"",VLOOKUP($C$3&amp;"-"&amp;$D74,Import!$C:$H,5,FALSE))</f>
        <v/>
      </c>
      <c r="S74" s="1025" t="str">
        <f>IF(VLOOKUP($C$3&amp;"-"&amp;$D74,Import!$C:$H,6,FALSE)=0,"",VLOOKUP($C$3&amp;"-"&amp;$D74,Import!$C:$H,6,FALSE))</f>
        <v/>
      </c>
      <c r="T74" s="157"/>
      <c r="U74" s="256"/>
    </row>
    <row r="75" spans="1:21" s="180" customFormat="1" ht="30" customHeight="1" x14ac:dyDescent="0.25">
      <c r="A75" s="169"/>
      <c r="B75" s="273"/>
      <c r="C75" s="173">
        <v>5</v>
      </c>
      <c r="D75" s="173" t="str">
        <f>IF(VLOOKUP(CONCATENATE($C$3,"-",C75),Languages!$A:$D,1,TRUE)=CONCATENATE($C$3,"-",C75),VLOOKUP(CONCATENATE($C$3,"-",C75),Languages!$A:$D,Summary!$C$7,TRUE),NA())</f>
        <v>Yleisiä hallintatoimia</v>
      </c>
      <c r="E75" s="173"/>
      <c r="F75" s="296"/>
      <c r="G75" s="1006"/>
      <c r="H75" s="1030"/>
      <c r="I75" s="1030"/>
      <c r="J75" s="1030"/>
      <c r="K75" s="1030"/>
      <c r="L75" s="157"/>
      <c r="M75" s="256"/>
      <c r="N75" s="152"/>
      <c r="O75" s="296"/>
      <c r="P75" s="297"/>
      <c r="Q75" s="297"/>
      <c r="R75" s="297"/>
      <c r="S75" s="297"/>
      <c r="T75" s="157"/>
      <c r="U75" s="256"/>
    </row>
    <row r="76" spans="1:21" s="289" customFormat="1" ht="19.95" customHeight="1" x14ac:dyDescent="0.2">
      <c r="A76" s="308"/>
      <c r="B76" s="283"/>
      <c r="C76" s="284" t="str">
        <f>IF(VLOOKUP("GEN-LEVEL",Languages!$A:$D,1,TRUE)="GEN-LEVEL",VLOOKUP("GEN-LEVEL",Languages!$A:$D,Summary!$C$7,TRUE),NA())</f>
        <v>Taso</v>
      </c>
      <c r="D76" s="284"/>
      <c r="E76" s="285" t="str">
        <f>IF(VLOOKUP("GEN-PRACTICE",Languages!$A:$D,1,TRUE)="GEN-PRACTICE",VLOOKUP("GEN-PRACTICE",Languages!$A:$D,Summary!$C$7,TRUE),NA())</f>
        <v>Käytäntö</v>
      </c>
      <c r="F76" s="286"/>
      <c r="G76" s="1003" t="str">
        <f>IF(VLOOKUP("GEN-ANSWER",Languages!$A:$D,1,TRUE)="GEN-ANSWER",VLOOKUP("GEN-ANSWER",Languages!$A:$D,Summary!$C$7,TRUE),NA())</f>
        <v>Vastaus</v>
      </c>
      <c r="H76" s="1004" t="str">
        <f>IF(VLOOKUP("KM112",Languages!$A:$D,1,TRUE)="KM112",VLOOKUP("KM112",Languages!$A:$D,Summary!$C$7,TRUE),NA())</f>
        <v>Kommentit</v>
      </c>
      <c r="I76" s="1004" t="str">
        <f>IF(VLOOKUP("KM113",Languages!$A:$D,1,TRUE)="KM113",VLOOKUP("KM113",Languages!$A:$D,Summary!$C$7,TRUE),NA())</f>
        <v>Sisäinen viittaus</v>
      </c>
      <c r="J76" s="1004" t="str">
        <f>IF(VLOOKUP("KM114",Languages!$A:$D,1,TRUE)="KM114",VLOOKUP("KM114",Languages!$A:$D,Summary!$C$7,TRUE),NA())</f>
        <v>Ulkoinen viittaus</v>
      </c>
      <c r="K76" s="1004" t="str">
        <f>IF(VLOOKUP("KM115",Languages!$A:$D,1,TRUE)="KM115",VLOOKUP("KM115",Languages!$A:$D,Summary!$C$7,TRUE),NA())</f>
        <v>Kehityskohde</v>
      </c>
      <c r="L76" s="287"/>
      <c r="M76" s="288"/>
      <c r="N76" s="283"/>
      <c r="O76" s="503" t="str">
        <f>IF(VLOOKUP("GEN-ANSWER",Languages!$A:$D,1,TRUE)="GEN-ANSWER",VLOOKUP("GEN-ANSWER",Languages!$A:$D,Summary!$C$7,TRUE),NA())</f>
        <v>Vastaus</v>
      </c>
      <c r="P76" s="503" t="str">
        <f>IF(VLOOKUP("KM112",Languages!$A:$D,1,TRUE)="KM112",VLOOKUP("KM112",Languages!$A:$D,Summary!$C$7,TRUE),NA())</f>
        <v>Kommentit</v>
      </c>
      <c r="Q76" s="503" t="str">
        <f>IF(VLOOKUP("KM113",Languages!$A:$D,1,TRUE)="KM113",VLOOKUP("KM113",Languages!$A:$D,Summary!$C$7,TRUE),NA())</f>
        <v>Sisäinen viittaus</v>
      </c>
      <c r="R76" s="503" t="str">
        <f>IF(VLOOKUP("KM114",Languages!$A:$D,1,TRUE)="KM114",VLOOKUP("KM114",Languages!$A:$D,Summary!$C$7,TRUE),NA())</f>
        <v>Ulkoinen viittaus</v>
      </c>
      <c r="S76" s="503" t="str">
        <f>IF(VLOOKUP("KM115",Languages!$A:$D,1,TRUE)="KM115",VLOOKUP("KM115",Languages!$A:$D,Summary!$C$7,TRUE),NA())</f>
        <v>Kehityskohde</v>
      </c>
      <c r="T76" s="287"/>
      <c r="U76" s="288"/>
    </row>
    <row r="77" spans="1:21" s="315" customFormat="1" ht="19.95" customHeight="1" x14ac:dyDescent="0.2">
      <c r="A77" s="288"/>
      <c r="B77" s="283"/>
      <c r="C77" s="497">
        <v>1</v>
      </c>
      <c r="D77" s="412"/>
      <c r="E77" s="413"/>
      <c r="F77" s="415"/>
      <c r="G77" s="1007"/>
      <c r="H77" s="1008"/>
      <c r="I77" s="1008"/>
      <c r="J77" s="1008"/>
      <c r="K77" s="1009"/>
      <c r="L77" s="157"/>
      <c r="M77" s="256"/>
      <c r="N77" s="152"/>
      <c r="O77" s="562"/>
      <c r="P77" s="414"/>
      <c r="Q77" s="414"/>
      <c r="R77" s="414"/>
      <c r="S77" s="416"/>
      <c r="T77" s="157"/>
      <c r="U77" s="256"/>
    </row>
    <row r="78" spans="1:21" s="300" customFormat="1" ht="34.950000000000003" customHeight="1" x14ac:dyDescent="0.2">
      <c r="A78" s="309"/>
      <c r="B78" s="1213"/>
      <c r="C78" s="1224">
        <v>2</v>
      </c>
      <c r="D78" s="406" t="s">
        <v>140</v>
      </c>
      <c r="E78" s="507" t="str">
        <f>IF(VLOOKUP(CONCATENATE($C$3,"-",$D78),Languages!$A:$D,1,TRUE)=CONCATENATE($C$3,"-",$D78),VLOOKUP(CONCATENATE($C$3,"-",$D78),Languages!$A:$D,Summary!$C$7,TRUE),NA())</f>
        <v>RESPONSE-osion toimintaa varten on määritetty dokumentoidut toimintatavat, joita noudatetaan ja päivitetään säännöllisesti.</v>
      </c>
      <c r="F78" s="396">
        <f t="shared" ref="F78:F83" si="4">IFERROR(INT(LEFT($G78,1)),0)</f>
        <v>0</v>
      </c>
      <c r="G78" s="485"/>
      <c r="H78" s="482"/>
      <c r="I78" s="482"/>
      <c r="J78" s="482"/>
      <c r="K78" s="491"/>
      <c r="L78" s="157"/>
      <c r="M78" s="256"/>
      <c r="N78" s="152"/>
      <c r="O78" s="988" t="str">
        <f>VLOOKUP(VLOOKUP($C$3&amp;"-"&amp;$D78,Import!$C:$D,2,FALSE),Parameters!$C$18:$F$22,Summary!$C$7,FALSE)</f>
        <v xml:space="preserve">0 - Vastaus puuttuu </v>
      </c>
      <c r="P78" s="1022" t="str">
        <f>IF(VLOOKUP($C$3&amp;"-"&amp;$D78,Import!$C:$H,3,FALSE)=0,"",VLOOKUP($C$3&amp;"-"&amp;$D78,Import!$C:$H,3,FALSE))</f>
        <v/>
      </c>
      <c r="Q78" s="1022" t="str">
        <f>IF(VLOOKUP($C$3&amp;"-"&amp;$D78,Import!$C:$H,4,FALSE)=0,"",VLOOKUP($C$3&amp;"-"&amp;$D78,Import!$C:$H,4,FALSE))</f>
        <v/>
      </c>
      <c r="R78" s="1022" t="str">
        <f>IF(VLOOKUP($C$3&amp;"-"&amp;$D78,Import!$C:$H,5,FALSE)=0,"",VLOOKUP($C$3&amp;"-"&amp;$D78,Import!$C:$H,5,FALSE))</f>
        <v/>
      </c>
      <c r="S78" s="1023" t="str">
        <f>IF(VLOOKUP($C$3&amp;"-"&amp;$D78,Import!$C:$H,6,FALSE)=0,"",VLOOKUP($C$3&amp;"-"&amp;$D78,Import!$C:$H,6,FALSE))</f>
        <v/>
      </c>
      <c r="T78" s="157"/>
      <c r="U78" s="256"/>
    </row>
    <row r="79" spans="1:21" s="300" customFormat="1" ht="41.4" customHeight="1" x14ac:dyDescent="0.2">
      <c r="A79" s="309"/>
      <c r="B79" s="1213"/>
      <c r="C79" s="1225"/>
      <c r="D79" s="407" t="s">
        <v>143</v>
      </c>
      <c r="E79" s="514" t="str">
        <f>IF(VLOOKUP(CONCATENATE($C$3,"-",$D79),Languages!$A:$D,1,TRUE)=CONCATENATE($C$3,"-",$D79),VLOOKUP(CONCATENATE($C$3,"-",$D79),Languages!$A:$D,Summary!$C$7,TRUE),NA())</f>
        <v>RESPONSE-osion toimintaa varten on tarjolla riittävät resurssit (henkilöstö, rahoitus ja työkalut).</v>
      </c>
      <c r="F79" s="403">
        <f t="shared" si="4"/>
        <v>0</v>
      </c>
      <c r="G79" s="489"/>
      <c r="H79" s="484"/>
      <c r="I79" s="484"/>
      <c r="J79" s="484"/>
      <c r="K79" s="493"/>
      <c r="L79" s="157"/>
      <c r="M79" s="256"/>
      <c r="N79" s="152"/>
      <c r="O79" s="996" t="str">
        <f>VLOOKUP(VLOOKUP($C$3&amp;"-"&amp;$D79,Import!$C:$D,2,FALSE),Parameters!$C$18:$F$22,Summary!$C$7,FALSE)</f>
        <v xml:space="preserve">0 - Vastaus puuttuu </v>
      </c>
      <c r="P79" s="1024" t="str">
        <f>IF(VLOOKUP($C$3&amp;"-"&amp;$D79,Import!$C:$H,3,FALSE)=0,"",VLOOKUP($C$3&amp;"-"&amp;$D79,Import!$C:$H,3,FALSE))</f>
        <v/>
      </c>
      <c r="Q79" s="1024" t="str">
        <f>IF(VLOOKUP($C$3&amp;"-"&amp;$D79,Import!$C:$H,4,FALSE)=0,"",VLOOKUP($C$3&amp;"-"&amp;$D79,Import!$C:$H,4,FALSE))</f>
        <v/>
      </c>
      <c r="R79" s="1024" t="str">
        <f>IF(VLOOKUP($C$3&amp;"-"&amp;$D79,Import!$C:$H,5,FALSE)=0,"",VLOOKUP($C$3&amp;"-"&amp;$D79,Import!$C:$H,5,FALSE))</f>
        <v/>
      </c>
      <c r="S79" s="1025" t="str">
        <f>IF(VLOOKUP($C$3&amp;"-"&amp;$D79,Import!$C:$H,6,FALSE)=0,"",VLOOKUP($C$3&amp;"-"&amp;$D79,Import!$C:$H,6,FALSE))</f>
        <v/>
      </c>
      <c r="T79" s="157"/>
      <c r="U79" s="256"/>
    </row>
    <row r="80" spans="1:21" s="300" customFormat="1" ht="46.8" customHeight="1" x14ac:dyDescent="0.2">
      <c r="A80" s="309"/>
      <c r="B80" s="1213"/>
      <c r="C80" s="1226">
        <v>3</v>
      </c>
      <c r="D80" s="406" t="s">
        <v>146</v>
      </c>
      <c r="E80" s="507" t="str">
        <f>IF(VLOOKUP(CONCATENATE($C$3,"-",$D80),Languages!$A:$D,1,TRUE)=CONCATENATE($C$3,"-",$D80),VLOOKUP(CONCATENATE($C$3,"-",$D80),Languages!$A:$D,Summary!$C$7,TRUE),NA())</f>
        <v>RESPONSE-osion toimintaa ohjataan vaatimuksilla, jotka on asetettu organisaation johtotason politiikassa (tai vastaavassa ohjeistuksessa).</v>
      </c>
      <c r="F80" s="396">
        <f t="shared" si="4"/>
        <v>0</v>
      </c>
      <c r="G80" s="485"/>
      <c r="H80" s="482"/>
      <c r="I80" s="482"/>
      <c r="J80" s="482"/>
      <c r="K80" s="491"/>
      <c r="L80" s="157"/>
      <c r="M80" s="256"/>
      <c r="N80" s="152"/>
      <c r="O80" s="988" t="str">
        <f>VLOOKUP(VLOOKUP($C$3&amp;"-"&amp;$D80,Import!$C:$D,2,FALSE),Parameters!$C$18:$F$22,Summary!$C$7,FALSE)</f>
        <v xml:space="preserve">0 - Vastaus puuttuu </v>
      </c>
      <c r="P80" s="1022" t="str">
        <f>IF(VLOOKUP($C$3&amp;"-"&amp;$D80,Import!$C:$H,3,FALSE)=0,"",VLOOKUP($C$3&amp;"-"&amp;$D80,Import!$C:$H,3,FALSE))</f>
        <v/>
      </c>
      <c r="Q80" s="1022" t="str">
        <f>IF(VLOOKUP($C$3&amp;"-"&amp;$D80,Import!$C:$H,4,FALSE)=0,"",VLOOKUP($C$3&amp;"-"&amp;$D80,Import!$C:$H,4,FALSE))</f>
        <v/>
      </c>
      <c r="R80" s="1022" t="str">
        <f>IF(VLOOKUP($C$3&amp;"-"&amp;$D80,Import!$C:$H,5,FALSE)=0,"",VLOOKUP($C$3&amp;"-"&amp;$D80,Import!$C:$H,5,FALSE))</f>
        <v/>
      </c>
      <c r="S80" s="1023" t="str">
        <f>IF(VLOOKUP($C$3&amp;"-"&amp;$D80,Import!$C:$H,6,FALSE)=0,"",VLOOKUP($C$3&amp;"-"&amp;$D80,Import!$C:$H,6,FALSE))</f>
        <v/>
      </c>
      <c r="T80" s="157"/>
      <c r="U80" s="256"/>
    </row>
    <row r="81" spans="1:21" s="300" customFormat="1" ht="43.2" customHeight="1" x14ac:dyDescent="0.2">
      <c r="A81" s="309"/>
      <c r="B81" s="1213"/>
      <c r="C81" s="1228"/>
      <c r="D81" s="298" t="s">
        <v>149</v>
      </c>
      <c r="E81" s="508" t="str">
        <f>IF(VLOOKUP(CONCATENATE($C$3,"-",$D81),Languages!$A:$D,1,TRUE)=CONCATENATE($C$3,"-",$D81),VLOOKUP(CONCATENATE($C$3,"-",$D81),Languages!$A:$D,Summary!$C$7,TRUE),NA())</f>
        <v>RESPONSE-osion toimintaa suorittavilla työntekijöillä on riittävät tiedot ja taidot tehtäviensä suorittamiseen.</v>
      </c>
      <c r="F81" s="291">
        <f t="shared" si="4"/>
        <v>0</v>
      </c>
      <c r="G81" s="311"/>
      <c r="H81" s="483"/>
      <c r="I81" s="483"/>
      <c r="J81" s="483"/>
      <c r="K81" s="492"/>
      <c r="L81" s="157"/>
      <c r="M81" s="256"/>
      <c r="N81" s="152"/>
      <c r="O81" s="991" t="str">
        <f>VLOOKUP(VLOOKUP($C$3&amp;"-"&amp;$D81,Import!$C:$D,2,FALSE),Parameters!$C$18:$F$22,Summary!$C$7,FALSE)</f>
        <v xml:space="preserve">0 - Vastaus puuttuu </v>
      </c>
      <c r="P81" s="1017" t="str">
        <f>IF(VLOOKUP($C$3&amp;"-"&amp;$D81,Import!$C:$H,3,FALSE)=0,"",VLOOKUP($C$3&amp;"-"&amp;$D81,Import!$C:$H,3,FALSE))</f>
        <v/>
      </c>
      <c r="Q81" s="1017" t="str">
        <f>IF(VLOOKUP($C$3&amp;"-"&amp;$D81,Import!$C:$H,4,FALSE)=0,"",VLOOKUP($C$3&amp;"-"&amp;$D81,Import!$C:$H,4,FALSE))</f>
        <v/>
      </c>
      <c r="R81" s="1017" t="str">
        <f>IF(VLOOKUP($C$3&amp;"-"&amp;$D81,Import!$C:$H,5,FALSE)=0,"",VLOOKUP($C$3&amp;"-"&amp;$D81,Import!$C:$H,5,FALSE))</f>
        <v/>
      </c>
      <c r="S81" s="1018" t="str">
        <f>IF(VLOOKUP($C$3&amp;"-"&amp;$D81,Import!$C:$H,6,FALSE)=0,"",VLOOKUP($C$3&amp;"-"&amp;$D81,Import!$C:$H,6,FALSE))</f>
        <v/>
      </c>
      <c r="T81" s="157"/>
      <c r="U81" s="256"/>
    </row>
    <row r="82" spans="1:21" s="300" customFormat="1" ht="43.2" customHeight="1" x14ac:dyDescent="0.2">
      <c r="A82" s="309"/>
      <c r="B82" s="1213"/>
      <c r="C82" s="1228"/>
      <c r="D82" s="298" t="s">
        <v>151</v>
      </c>
      <c r="E82" s="508" t="str">
        <f>IF(VLOOKUP(CONCATENATE($C$3,"-",$D82),Languages!$A:$D,1,TRUE)=CONCATENATE($C$3,"-",$D82),VLOOKUP(CONCATENATE($C$3,"-",$D82),Languages!$A:$D,Summary!$C$7,TRUE),NA())</f>
        <v>RESPONSE-osion toiminnan suorittamiseen tarvittavat vastuut, tilivelvollisuudet ja valtuutukset on jalkautettu soveltuville työntekijöille.</v>
      </c>
      <c r="F82" s="291">
        <f t="shared" si="4"/>
        <v>0</v>
      </c>
      <c r="G82" s="311"/>
      <c r="H82" s="483"/>
      <c r="I82" s="483"/>
      <c r="J82" s="483"/>
      <c r="K82" s="492"/>
      <c r="L82" s="157"/>
      <c r="M82" s="256"/>
      <c r="N82" s="152"/>
      <c r="O82" s="991" t="str">
        <f>VLOOKUP(VLOOKUP($C$3&amp;"-"&amp;$D82,Import!$C:$D,2,FALSE),Parameters!$C$18:$F$22,Summary!$C$7,FALSE)</f>
        <v xml:space="preserve">0 - Vastaus puuttuu </v>
      </c>
      <c r="P82" s="1017" t="str">
        <f>IF(VLOOKUP($C$3&amp;"-"&amp;$D82,Import!$C:$H,3,FALSE)=0,"",VLOOKUP($C$3&amp;"-"&amp;$D82,Import!$C:$H,3,FALSE))</f>
        <v/>
      </c>
      <c r="Q82" s="1017" t="str">
        <f>IF(VLOOKUP($C$3&amp;"-"&amp;$D82,Import!$C:$H,4,FALSE)=0,"",VLOOKUP($C$3&amp;"-"&amp;$D82,Import!$C:$H,4,FALSE))</f>
        <v/>
      </c>
      <c r="R82" s="1017" t="str">
        <f>IF(VLOOKUP($C$3&amp;"-"&amp;$D82,Import!$C:$H,5,FALSE)=0,"",VLOOKUP($C$3&amp;"-"&amp;$D82,Import!$C:$H,5,FALSE))</f>
        <v/>
      </c>
      <c r="S82" s="1018" t="str">
        <f>IF(VLOOKUP($C$3&amp;"-"&amp;$D82,Import!$C:$H,6,FALSE)=0,"",VLOOKUP($C$3&amp;"-"&amp;$D82,Import!$C:$H,6,FALSE))</f>
        <v/>
      </c>
      <c r="T82" s="157"/>
      <c r="U82" s="256"/>
    </row>
    <row r="83" spans="1:21" s="300" customFormat="1" ht="34.950000000000003" customHeight="1" x14ac:dyDescent="0.2">
      <c r="A83" s="309"/>
      <c r="B83" s="1213"/>
      <c r="C83" s="1227"/>
      <c r="D83" s="407" t="s">
        <v>153</v>
      </c>
      <c r="E83" s="514" t="str">
        <f>IF(VLOOKUP(CONCATENATE($C$3,"-",$D83),Languages!$A:$D,1,TRUE)=CONCATENATE($C$3,"-",$D83),VLOOKUP(CONCATENATE($C$3,"-",$D83),Languages!$A:$D,Summary!$C$7,TRUE),NA())</f>
        <v>RESPONSE-osion toiminnan vaikuttavuutta arvioidaan ja seurataan.</v>
      </c>
      <c r="F83" s="403">
        <f t="shared" si="4"/>
        <v>0</v>
      </c>
      <c r="G83" s="489"/>
      <c r="H83" s="484"/>
      <c r="I83" s="484"/>
      <c r="J83" s="484"/>
      <c r="K83" s="493"/>
      <c r="L83" s="157"/>
      <c r="M83" s="256"/>
      <c r="N83" s="152"/>
      <c r="O83" s="996" t="str">
        <f>VLOOKUP(VLOOKUP($C$3&amp;"-"&amp;$D83,Import!$C:$D,2,FALSE),Parameters!$C$18:$F$22,Summary!$C$7,FALSE)</f>
        <v xml:space="preserve">0 - Vastaus puuttuu </v>
      </c>
      <c r="P83" s="1024" t="str">
        <f>IF(VLOOKUP($C$3&amp;"-"&amp;$D83,Import!$C:$H,3,FALSE)=0,"",VLOOKUP($C$3&amp;"-"&amp;$D83,Import!$C:$H,3,FALSE))</f>
        <v/>
      </c>
      <c r="Q83" s="1024" t="str">
        <f>IF(VLOOKUP($C$3&amp;"-"&amp;$D83,Import!$C:$H,4,FALSE)=0,"",VLOOKUP($C$3&amp;"-"&amp;$D83,Import!$C:$H,4,FALSE))</f>
        <v/>
      </c>
      <c r="R83" s="1024" t="str">
        <f>IF(VLOOKUP($C$3&amp;"-"&amp;$D83,Import!$C:$H,5,FALSE)=0,"",VLOOKUP($C$3&amp;"-"&amp;$D83,Import!$C:$H,5,FALSE))</f>
        <v/>
      </c>
      <c r="S83" s="1025" t="str">
        <f>IF(VLOOKUP($C$3&amp;"-"&amp;$D83,Import!$C:$H,6,FALSE)=0,"",VLOOKUP($C$3&amp;"-"&amp;$D83,Import!$C:$H,6,FALSE))</f>
        <v/>
      </c>
      <c r="T83" s="157"/>
      <c r="U83" s="256"/>
    </row>
    <row r="84" spans="1:21" x14ac:dyDescent="0.2">
      <c r="A84" s="184"/>
      <c r="B84" s="333"/>
      <c r="C84" s="334"/>
      <c r="D84" s="335"/>
      <c r="E84" s="336"/>
      <c r="F84" s="337"/>
      <c r="G84" s="338"/>
      <c r="H84" s="339"/>
      <c r="I84" s="339"/>
      <c r="J84" s="339"/>
      <c r="K84" s="339"/>
      <c r="L84" s="157"/>
      <c r="M84" s="256"/>
      <c r="N84" s="152"/>
      <c r="O84" s="338"/>
      <c r="P84" s="339"/>
      <c r="Q84" s="339"/>
      <c r="R84" s="339"/>
      <c r="S84" s="339"/>
      <c r="T84" s="157"/>
      <c r="U84" s="256"/>
    </row>
    <row r="85" spans="1:21" x14ac:dyDescent="0.25">
      <c r="A85" s="184"/>
      <c r="B85" s="184"/>
      <c r="C85" s="184"/>
      <c r="D85" s="184"/>
      <c r="E85" s="184"/>
      <c r="F85" s="340"/>
      <c r="G85" s="184"/>
      <c r="H85" s="184"/>
      <c r="I85" s="184"/>
      <c r="J85" s="184"/>
      <c r="K85" s="184"/>
      <c r="L85" s="516"/>
      <c r="M85" s="347"/>
      <c r="N85" s="516"/>
      <c r="O85" s="184"/>
      <c r="P85" s="184"/>
      <c r="Q85" s="184"/>
      <c r="R85" s="184"/>
      <c r="S85" s="184"/>
      <c r="T85" s="516"/>
      <c r="U85" s="347"/>
    </row>
  </sheetData>
  <sheetProtection sheet="1" formatCells="0" formatColumns="0" formatRows="0"/>
  <mergeCells count="28">
    <mergeCell ref="C61:C69"/>
    <mergeCell ref="C78:C79"/>
    <mergeCell ref="C80:C83"/>
    <mergeCell ref="C70:C74"/>
    <mergeCell ref="I8:J8"/>
    <mergeCell ref="C21:K21"/>
    <mergeCell ref="I10:J11"/>
    <mergeCell ref="B82:B83"/>
    <mergeCell ref="B78:B81"/>
    <mergeCell ref="B26:B27"/>
    <mergeCell ref="B28:B31"/>
    <mergeCell ref="B34:B35"/>
    <mergeCell ref="B36:B42"/>
    <mergeCell ref="O3:S21"/>
    <mergeCell ref="C15:K15"/>
    <mergeCell ref="C17:K17"/>
    <mergeCell ref="C19:K19"/>
    <mergeCell ref="C58:C60"/>
    <mergeCell ref="C45:C47"/>
    <mergeCell ref="C34:C35"/>
    <mergeCell ref="C27:C28"/>
    <mergeCell ref="C36:C40"/>
    <mergeCell ref="C48:C51"/>
    <mergeCell ref="C52:C55"/>
    <mergeCell ref="C41:C42"/>
    <mergeCell ref="C29:C31"/>
    <mergeCell ref="C6:K6"/>
    <mergeCell ref="C13:K13"/>
  </mergeCells>
  <conditionalFormatting sqref="F4:F5 F75 F12 F7:F10 F26:F32 F34:F43 F45:F54 F77:F1048576">
    <cfRule type="containsText" dxfId="187" priority="37" operator="containsText" text="0">
      <formula>NOT(ISERROR(SEARCH("0",F4)))</formula>
    </cfRule>
  </conditionalFormatting>
  <conditionalFormatting sqref="F56 F58:F67">
    <cfRule type="containsText" dxfId="186" priority="33" operator="containsText" text="0">
      <formula>NOT(ISERROR(SEARCH("0",F56)))</formula>
    </cfRule>
  </conditionalFormatting>
  <conditionalFormatting sqref="F68:F74">
    <cfRule type="containsText" dxfId="185" priority="29" operator="containsText" text="0">
      <formula>NOT(ISERROR(SEARCH("0",F68)))</formula>
    </cfRule>
  </conditionalFormatting>
  <conditionalFormatting sqref="F55">
    <cfRule type="containsText" dxfId="184" priority="27" operator="containsText" text="0">
      <formula>NOT(ISERROR(SEARCH("0",F55)))</formula>
    </cfRule>
  </conditionalFormatting>
  <conditionalFormatting sqref="F11">
    <cfRule type="containsText" dxfId="183" priority="25" operator="containsText" text="0">
      <formula>NOT(ISERROR(SEARCH("0",F11)))</formula>
    </cfRule>
  </conditionalFormatting>
  <conditionalFormatting sqref="F1 F3">
    <cfRule type="containsText" dxfId="182" priority="22" operator="containsText" text="0">
      <formula>NOT(ISERROR(SEARCH("0",F1)))</formula>
    </cfRule>
  </conditionalFormatting>
  <conditionalFormatting sqref="F2">
    <cfRule type="containsText" dxfId="181" priority="21" operator="containsText" text="0">
      <formula>NOT(ISERROR(SEARCH("0",F2)))</formula>
    </cfRule>
  </conditionalFormatting>
  <conditionalFormatting sqref="F76">
    <cfRule type="containsText" dxfId="180" priority="19" operator="containsText" text="0">
      <formula>NOT(ISERROR(SEARCH("0",F76)))</formula>
    </cfRule>
  </conditionalFormatting>
  <conditionalFormatting sqref="F57">
    <cfRule type="containsText" dxfId="179" priority="17" operator="containsText" text="0">
      <formula>NOT(ISERROR(SEARCH("0",F57)))</formula>
    </cfRule>
  </conditionalFormatting>
  <conditionalFormatting sqref="F44">
    <cfRule type="containsText" dxfId="178" priority="15" operator="containsText" text="0">
      <formula>NOT(ISERROR(SEARCH("0",F44)))</formula>
    </cfRule>
  </conditionalFormatting>
  <conditionalFormatting sqref="F33">
    <cfRule type="containsText" dxfId="177" priority="13" operator="containsText" text="0">
      <formula>NOT(ISERROR(SEARCH("0",F33)))</formula>
    </cfRule>
  </conditionalFormatting>
  <conditionalFormatting sqref="F25">
    <cfRule type="containsText" dxfId="176" priority="11" operator="containsText" text="0">
      <formula>NOT(ISERROR(SEARCH("0",F25)))</formula>
    </cfRule>
  </conditionalFormatting>
  <conditionalFormatting sqref="F14">
    <cfRule type="containsText" dxfId="175" priority="9" operator="containsText" text="0">
      <formula>NOT(ISERROR(SEARCH("0",F14)))</formula>
    </cfRule>
  </conditionalFormatting>
  <conditionalFormatting sqref="F16">
    <cfRule type="containsText" dxfId="174" priority="7" operator="containsText" text="0">
      <formula>NOT(ISERROR(SEARCH("0",F16)))</formula>
    </cfRule>
  </conditionalFormatting>
  <conditionalFormatting sqref="F18">
    <cfRule type="containsText" dxfId="173" priority="5" operator="containsText" text="0">
      <formula>NOT(ISERROR(SEARCH("0",F18)))</formula>
    </cfRule>
  </conditionalFormatting>
  <conditionalFormatting sqref="F20">
    <cfRule type="containsText" dxfId="172" priority="3" operator="containsText" text="0">
      <formula>NOT(ISERROR(SEARCH("0",F20)))</formula>
    </cfRule>
  </conditionalFormatting>
  <conditionalFormatting sqref="F24">
    <cfRule type="containsText" dxfId="171" priority="1" operator="containsText" text="0">
      <formula>NOT(ISERROR(SEARCH("0",F24)))</formula>
    </cfRule>
  </conditionalFormatting>
  <pageMargins left="0.7" right="0.7" top="0.75" bottom="0.75" header="0.3" footer="0.3"/>
  <pageSetup paperSize="9" scale="42" orientation="portrait" r:id="rId1"/>
  <rowBreaks count="1" manualBreakCount="1">
    <brk id="42" max="16383" man="1"/>
  </rowBreaks>
  <colBreaks count="1" manualBreakCount="1">
    <brk id="13" max="1048575" man="1"/>
  </colBreaks>
  <ignoredErrors>
    <ignoredError sqref="O31 O42 O55 P57:S57 O83 O26 O27 O28 O29 O30 O34 O35 O36 O37 O38 O39 O40 O41 O45 O46 O47 O48 O49 O50 O51 O52 O53 O54 O74 O58 O59 O60 O61 O62 O63 O64 O65 O66 O67 O68 O69 O70 O71 O72 O73 O78 O79 O80 O81 O82 P26:S31 P34:S42 P45:S55 P58:S74 P78:S83" unlockedFormula="1"/>
  </ignoredErrors>
  <drawing r:id="rId2"/>
  <extLst>
    <ext xmlns:x14="http://schemas.microsoft.com/office/spreadsheetml/2009/9/main" uri="{78C0D931-6437-407d-A8EE-F0AAD7539E65}">
      <x14:conditionalFormattings>
        <x14:conditionalFormatting xmlns:xm="http://schemas.microsoft.com/office/excel/2006/main">
          <x14:cfRule type="iconSet" priority="38" id="{D7A53347-6F96-4FDC-BD49-F3FCBC1798F4}">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F77:F1048576 F75 F4:F5 F12 F7:F10 F26:F32 F34:F43 F45:F54</xm:sqref>
        </x14:conditionalFormatting>
        <x14:conditionalFormatting xmlns:xm="http://schemas.microsoft.com/office/excel/2006/main">
          <x14:cfRule type="iconSet" priority="34" id="{58A01350-1578-4186-93A3-B683443D8096}">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F58:F67 F56</xm:sqref>
        </x14:conditionalFormatting>
        <x14:conditionalFormatting xmlns:xm="http://schemas.microsoft.com/office/excel/2006/main">
          <x14:cfRule type="iconSet" priority="30" id="{52FF87DF-0A5F-4D7C-8F0A-3F71613CF7ED}">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F68:F74</xm:sqref>
        </x14:conditionalFormatting>
        <x14:conditionalFormatting xmlns:xm="http://schemas.microsoft.com/office/excel/2006/main">
          <x14:cfRule type="iconSet" priority="28" id="{B8E24C2C-7C34-49A1-96AE-80350EA1E921}">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F55</xm:sqref>
        </x14:conditionalFormatting>
        <x14:conditionalFormatting xmlns:xm="http://schemas.microsoft.com/office/excel/2006/main">
          <x14:cfRule type="iconSet" priority="26" id="{8461E30D-E562-4B8C-9E85-61DF11F1E1AB}">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F11</xm:sqref>
        </x14:conditionalFormatting>
        <x14:conditionalFormatting xmlns:xm="http://schemas.microsoft.com/office/excel/2006/main">
          <x14:cfRule type="iconSet" priority="23" id="{9F7111A4-66E2-42C0-937E-0B210F59AB09}">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F3 F1</xm:sqref>
        </x14:conditionalFormatting>
        <x14:conditionalFormatting xmlns:xm="http://schemas.microsoft.com/office/excel/2006/main">
          <x14:cfRule type="iconSet" priority="24" id="{CD0C2ECA-A26A-4E3E-8110-1A57338DF1FE}">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F2</xm:sqref>
        </x14:conditionalFormatting>
        <x14:conditionalFormatting xmlns:xm="http://schemas.microsoft.com/office/excel/2006/main">
          <x14:cfRule type="iconSet" priority="20" id="{44412A0A-770C-46A8-B12D-DD75246B2D1E}">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F76</xm:sqref>
        </x14:conditionalFormatting>
        <x14:conditionalFormatting xmlns:xm="http://schemas.microsoft.com/office/excel/2006/main">
          <x14:cfRule type="iconSet" priority="18" id="{BFA8A6A0-CE25-47C3-B2E6-E7D5DC9C49E7}">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F57</xm:sqref>
        </x14:conditionalFormatting>
        <x14:conditionalFormatting xmlns:xm="http://schemas.microsoft.com/office/excel/2006/main">
          <x14:cfRule type="iconSet" priority="16" id="{6925C8E5-009C-48B3-80D9-C5015704758F}">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F44</xm:sqref>
        </x14:conditionalFormatting>
        <x14:conditionalFormatting xmlns:xm="http://schemas.microsoft.com/office/excel/2006/main">
          <x14:cfRule type="iconSet" priority="14" id="{92AD853E-6453-4DF4-BC27-FACF113A3D51}">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F33</xm:sqref>
        </x14:conditionalFormatting>
        <x14:conditionalFormatting xmlns:xm="http://schemas.microsoft.com/office/excel/2006/main">
          <x14:cfRule type="iconSet" priority="12" id="{015E835C-71E2-4319-BE84-EAB6B10A62D5}">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F25</xm:sqref>
        </x14:conditionalFormatting>
        <x14:conditionalFormatting xmlns:xm="http://schemas.microsoft.com/office/excel/2006/main">
          <x14:cfRule type="iconSet" priority="10" id="{7E18B624-E129-4725-875B-53E8D8B1C139}">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F14</xm:sqref>
        </x14:conditionalFormatting>
        <x14:conditionalFormatting xmlns:xm="http://schemas.microsoft.com/office/excel/2006/main">
          <x14:cfRule type="iconSet" priority="8" id="{F513DDED-7757-47EE-955D-B92CB3FA7391}">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F16</xm:sqref>
        </x14:conditionalFormatting>
        <x14:conditionalFormatting xmlns:xm="http://schemas.microsoft.com/office/excel/2006/main">
          <x14:cfRule type="iconSet" priority="6" id="{47DCE5EF-17EB-46D1-9467-0187E9255F16}">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F18</xm:sqref>
        </x14:conditionalFormatting>
        <x14:conditionalFormatting xmlns:xm="http://schemas.microsoft.com/office/excel/2006/main">
          <x14:cfRule type="iconSet" priority="4" id="{5B209516-2884-475D-9316-ABC8E8EBF753}">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F20</xm:sqref>
        </x14:conditionalFormatting>
        <x14:conditionalFormatting xmlns:xm="http://schemas.microsoft.com/office/excel/2006/main">
          <x14:cfRule type="iconSet" priority="2" id="{F5339100-142C-4221-B7DD-65F3DE6701B9}">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F24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Parameters!$B$18:$B$22</xm:f>
          </x14:formula1>
          <xm:sqref>G26:G31 G34:G42 G78:G83 G58:G74 G45:G55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2" tint="0.79998168889431442"/>
  </sheetPr>
  <dimension ref="A1:U56"/>
  <sheetViews>
    <sheetView showGridLines="0" zoomScale="80" zoomScaleNormal="80" workbookViewId="0"/>
  </sheetViews>
  <sheetFormatPr defaultColWidth="9.26953125" defaultRowHeight="13.8" x14ac:dyDescent="0.25"/>
  <cols>
    <col min="1" max="2" width="1.6328125" style="187" customWidth="1"/>
    <col min="3" max="3" width="2.6328125" style="187" customWidth="1"/>
    <col min="4" max="4" width="3.1796875" style="341" customWidth="1"/>
    <col min="5" max="5" width="55.6328125" style="187" customWidth="1"/>
    <col min="6" max="6" width="2.6328125" style="327" customWidth="1"/>
    <col min="7" max="7" width="14.6328125" style="314" customWidth="1"/>
    <col min="8" max="8" width="30.6328125" customWidth="1"/>
    <col min="9" max="9" width="20.6328125" customWidth="1"/>
    <col min="10" max="10" width="20.6328125" style="342" customWidth="1"/>
    <col min="11" max="11" width="10.6328125" style="187" customWidth="1"/>
    <col min="12" max="12" width="1.6328125" style="343" customWidth="1"/>
    <col min="13" max="13" width="1.6328125" style="344" customWidth="1"/>
    <col min="14" max="14" width="1.6328125" style="343" customWidth="1"/>
    <col min="15" max="15" width="14.6328125" style="314" customWidth="1"/>
    <col min="16" max="16" width="30.6328125" customWidth="1"/>
    <col min="17" max="17" width="20.6328125" customWidth="1"/>
    <col min="18" max="18" width="20.6328125" style="342" customWidth="1"/>
    <col min="19" max="19" width="10.6328125" style="187" customWidth="1"/>
    <col min="20" max="20" width="1.6328125" style="343" customWidth="1"/>
    <col min="21" max="21" width="1.6328125" style="344" customWidth="1"/>
    <col min="22" max="16384" width="9.26953125" style="187"/>
  </cols>
  <sheetData>
    <row r="1" spans="1:21" s="143" customFormat="1" ht="11.4" x14ac:dyDescent="0.25">
      <c r="A1" s="138"/>
      <c r="B1" s="138"/>
      <c r="C1" s="138"/>
      <c r="D1" s="138"/>
      <c r="E1" s="138"/>
      <c r="F1" s="255"/>
      <c r="G1" s="254"/>
      <c r="H1" s="254"/>
      <c r="I1" s="254"/>
      <c r="J1" s="254"/>
      <c r="K1" s="254"/>
      <c r="L1" s="138"/>
      <c r="M1" s="138"/>
      <c r="N1" s="138"/>
      <c r="O1" s="254"/>
      <c r="P1" s="254"/>
      <c r="Q1" s="254"/>
      <c r="R1" s="254"/>
      <c r="S1" s="254"/>
      <c r="T1" s="138"/>
      <c r="U1" s="138"/>
    </row>
    <row r="2" spans="1:21" s="261" customFormat="1" ht="15" customHeight="1" x14ac:dyDescent="0.2">
      <c r="A2" s="256"/>
      <c r="B2" s="145"/>
      <c r="C2" s="257"/>
      <c r="D2" s="148"/>
      <c r="E2" s="258"/>
      <c r="F2" s="149"/>
      <c r="G2" s="259"/>
      <c r="H2" s="259"/>
      <c r="I2" s="259"/>
      <c r="J2" s="259"/>
      <c r="K2" s="259"/>
      <c r="L2" s="150"/>
      <c r="M2" s="256"/>
      <c r="N2" s="896"/>
      <c r="O2" s="897"/>
      <c r="P2" s="897"/>
      <c r="Q2" s="897"/>
      <c r="R2" s="897"/>
      <c r="S2" s="897"/>
      <c r="T2" s="898"/>
      <c r="U2" s="256"/>
    </row>
    <row r="3" spans="1:21" s="261" customFormat="1" ht="25.05" customHeight="1" x14ac:dyDescent="0.25">
      <c r="A3" s="256"/>
      <c r="B3" s="152"/>
      <c r="C3" s="153" t="s">
        <v>1145</v>
      </c>
      <c r="D3" s="154"/>
      <c r="E3" s="436"/>
      <c r="F3" s="155"/>
      <c r="H3" s="272" t="str">
        <f>IF(VLOOKUP("GEN-TOTAL",Languages!$A:$D,1,TRUE)="GEN-TOTAL",VLOOKUP("GEN-TOTAL",Languages!$A:$D,Summary!$C$7,TRUE),NA())</f>
        <v>Kokonaisarvio</v>
      </c>
      <c r="I3" s="156" t="str">
        <f>IF(VLOOKUP("GEN-SEC",Languages!$A:$D,1,TRUE)="GEN-SEC",VLOOKUP("GEN-SEC",Languages!$A:$D,Summary!$C$7,TRUE),NA())</f>
        <v>Tiedon luokittelu</v>
      </c>
      <c r="J3" s="437"/>
      <c r="L3" s="157"/>
      <c r="M3" s="256"/>
      <c r="N3" s="899"/>
      <c r="O3" s="1219" t="str">
        <f>VLOOKUP($C$3,Infoimport!$B$4:$C$14,2,FALSE)</f>
        <v>THIRDPARTY, tiedot Infoimport-välilehdeltä</v>
      </c>
      <c r="P3" s="1219"/>
      <c r="Q3" s="1219"/>
      <c r="R3" s="1219"/>
      <c r="S3" s="1219"/>
      <c r="T3" s="900"/>
      <c r="U3" s="256"/>
    </row>
    <row r="4" spans="1:21" s="322" customFormat="1" ht="25.05" customHeight="1" x14ac:dyDescent="0.3">
      <c r="A4" s="320"/>
      <c r="B4" s="321"/>
      <c r="C4" s="158" t="str">
        <f>IF(VLOOKUP($C$3,Languages!$A:$D,1,TRUE)=$C$3,VLOOKUP($C$3,Languages!$A:$D,Summary!$C$7,TRUE),NA())</f>
        <v>Kumppaniverkoston riskien hallinta (THIRDPARTY)</v>
      </c>
      <c r="D4" s="262"/>
      <c r="E4" s="263"/>
      <c r="F4" s="324"/>
      <c r="G4" s="323"/>
      <c r="H4" s="265" t="str">
        <f ca="1">VLOOKUP(VLOOKUP(CONCATENATE($C$3),Data!$K:$O,5,FALSE),Parameters!$C$7:$F$10,Summary!$C$7,FALSE)</f>
        <v>Kypsyystaso 0</v>
      </c>
      <c r="I4" s="781"/>
      <c r="J4" s="266"/>
      <c r="K4" s="261"/>
      <c r="L4" s="157"/>
      <c r="M4" s="256"/>
      <c r="N4" s="899"/>
      <c r="O4" s="1219"/>
      <c r="P4" s="1219"/>
      <c r="Q4" s="1219"/>
      <c r="R4" s="1219"/>
      <c r="S4" s="1219"/>
      <c r="T4" s="900"/>
      <c r="U4" s="256"/>
    </row>
    <row r="5" spans="1:21" ht="10.050000000000001" customHeight="1" x14ac:dyDescent="0.25">
      <c r="A5" s="181"/>
      <c r="B5" s="312"/>
      <c r="C5" s="325"/>
      <c r="D5" s="326"/>
      <c r="E5" s="326"/>
      <c r="F5" s="265"/>
      <c r="G5" s="265"/>
      <c r="I5" s="266"/>
      <c r="J5" s="266"/>
      <c r="K5" s="261"/>
      <c r="L5" s="157"/>
      <c r="M5" s="256"/>
      <c r="N5" s="899"/>
      <c r="O5" s="1219"/>
      <c r="P5" s="1219"/>
      <c r="Q5" s="1219"/>
      <c r="R5" s="1219"/>
      <c r="S5" s="1219"/>
      <c r="T5" s="900"/>
      <c r="U5" s="256"/>
    </row>
    <row r="6" spans="1:21" ht="139.5" customHeight="1" x14ac:dyDescent="0.2">
      <c r="A6" s="181"/>
      <c r="B6" s="312"/>
      <c r="C6" s="1216" t="str">
        <f>IF(VLOOKUP(CONCATENATE(C3,"-0"),Languages!$A:$D,1,TRUE)=CONCATENATE(C3,"-0"),VLOOKUP(CONCATENATE(C3,"-0"),Languages!$A:$D,Summary!$C$7,TRUE),NA())</f>
        <v>Toimitusketjun ja ulkoisten riippuvuuksien hallinnan osiossa arvioidaan organisaation kykyä tunnistaa ja hallita toimitusketjuihin ja kolmansiin osapuoliin liittyviä riskejä. Organisaation tulee määritellä ja ylläpitää kontrolleja, joiden avulla se hallitsee organisaation ulkopuolisista toimijoista riippuvaisten yhteiskunnalle kriittisten palveluiden kyberriskejä.</v>
      </c>
      <c r="D6" s="1216"/>
      <c r="E6" s="1216"/>
      <c r="F6" s="1216"/>
      <c r="G6" s="1216"/>
      <c r="H6" s="1216"/>
      <c r="I6" s="1216"/>
      <c r="J6" s="1216"/>
      <c r="K6" s="1216"/>
      <c r="L6" s="157"/>
      <c r="M6" s="256"/>
      <c r="N6" s="899"/>
      <c r="O6" s="1219"/>
      <c r="P6" s="1219"/>
      <c r="Q6" s="1219"/>
      <c r="R6" s="1219"/>
      <c r="S6" s="1219"/>
      <c r="T6" s="900"/>
      <c r="U6" s="256"/>
    </row>
    <row r="7" spans="1:21" ht="14.4" customHeight="1" x14ac:dyDescent="0.2">
      <c r="A7" s="181"/>
      <c r="B7" s="312"/>
      <c r="C7" s="268">
        <v>1</v>
      </c>
      <c r="D7" s="269" t="s">
        <v>1</v>
      </c>
      <c r="E7" s="270" t="str">
        <f>IF(VLOOKUP(CONCATENATE($C$3,"-",C7),Languages!$A:$D,1,TRUE)=CONCATENATE($C$3,"-",C7),VLOOKUP(CONCATENATE($C$3,"-",C7),Languages!$A:$D,Summary!$C$7,TRUE),NA())</f>
        <v>Kumppaniverkoston tunnistaminen ja priorisointi</v>
      </c>
      <c r="H7" s="271" t="str">
        <f ca="1">VLOOKUP(VLOOKUP(CONCATENATE($C$3,"-",$C7),Data!$K:$O,5,FALSE),Parameters!$C$7:$F$10,Summary!$C$7,FALSE)</f>
        <v>Kypsyystaso 0</v>
      </c>
      <c r="I7" s="505" t="str">
        <f>IF(VLOOKUP("KM110",Languages!$A:$D,1,TRUE)="KM110",VLOOKUP("KM110",Languages!$A:$D,Summary!$C$7,TRUE),NA())</f>
        <v>Päivämäärä</v>
      </c>
      <c r="J7" s="479"/>
      <c r="K7" s="261"/>
      <c r="L7" s="157"/>
      <c r="M7" s="256"/>
      <c r="N7" s="899"/>
      <c r="O7" s="1219"/>
      <c r="P7" s="1219"/>
      <c r="Q7" s="1219"/>
      <c r="R7" s="1219"/>
      <c r="S7" s="1219"/>
      <c r="T7" s="900"/>
      <c r="U7" s="256"/>
    </row>
    <row r="8" spans="1:21" ht="14.4" customHeight="1" x14ac:dyDescent="0.25">
      <c r="A8" s="181"/>
      <c r="B8" s="312"/>
      <c r="C8" s="268">
        <v>2</v>
      </c>
      <c r="D8" s="269" t="s">
        <v>1</v>
      </c>
      <c r="E8" s="270" t="str">
        <f>IF(VLOOKUP(CONCATENATE($C$3,"-",C8),Languages!$A:$D,1,TRUE)=CONCATENATE($C$3,"-",C8),VLOOKUP(CONCATENATE($C$3,"-",C8),Languages!$A:$D,Summary!$C$7,TRUE),NA())</f>
        <v>Kumppaniverkostoon liittyvien riskien hallinta</v>
      </c>
      <c r="F8" s="328"/>
      <c r="H8" s="271" t="str">
        <f ca="1">VLOOKUP(VLOOKUP(CONCATENATE($C$3,"-",$C8),Data!$K:$O,5,FALSE),Parameters!$C$7:$F$10,Summary!$C$7,FALSE)</f>
        <v>Kypsyystaso 0</v>
      </c>
      <c r="I8" s="1217"/>
      <c r="J8" s="1218"/>
      <c r="K8" s="261"/>
      <c r="L8" s="157"/>
      <c r="M8" s="256"/>
      <c r="N8" s="899"/>
      <c r="O8" s="1219"/>
      <c r="P8" s="1219"/>
      <c r="Q8" s="1219"/>
      <c r="R8" s="1219"/>
      <c r="S8" s="1219"/>
      <c r="T8" s="900"/>
      <c r="U8" s="256"/>
    </row>
    <row r="9" spans="1:21" ht="14.4" customHeight="1" x14ac:dyDescent="0.2">
      <c r="A9" s="181"/>
      <c r="B9" s="312"/>
      <c r="C9" s="268">
        <v>3</v>
      </c>
      <c r="D9" s="269" t="s">
        <v>1</v>
      </c>
      <c r="E9" s="270" t="str">
        <f>IF(VLOOKUP(CONCATENATE($C$3,"-",C9),Languages!$A:$D,1,TRUE)=CONCATENATE($C$3,"-",C9),VLOOKUP(CONCATENATE($C$3,"-",C9),Languages!$A:$D,Summary!$C$7,TRUE),NA())</f>
        <v>Yleisiä hallintatoimia</v>
      </c>
      <c r="F9" s="329"/>
      <c r="H9" s="271" t="str">
        <f ca="1">VLOOKUP(VLOOKUP(CONCATENATE($C$3,"-",$C9),Data!$K:$O,5,FALSE),Parameters!$C$7:$F$10,Summary!$C$7,FALSE)</f>
        <v>Kypsyystaso 1</v>
      </c>
      <c r="I9" s="505" t="str">
        <f>IF(VLOOKUP("KM111",Languages!$A:$D,1,TRUE)="KM111",VLOOKUP("KM111",Languages!$A:$D,Summary!$C$7,TRUE),NA())</f>
        <v>Osallistujat</v>
      </c>
      <c r="J9" s="479"/>
      <c r="K9" s="261"/>
      <c r="L9" s="157"/>
      <c r="M9" s="256"/>
      <c r="N9" s="899"/>
      <c r="O9" s="1219"/>
      <c r="P9" s="1219"/>
      <c r="Q9" s="1219"/>
      <c r="R9" s="1219"/>
      <c r="S9" s="1219"/>
      <c r="T9" s="900"/>
      <c r="U9" s="256"/>
    </row>
    <row r="10" spans="1:21" ht="14.4" customHeight="1" x14ac:dyDescent="0.2">
      <c r="A10" s="181"/>
      <c r="B10" s="312"/>
      <c r="C10" s="268"/>
      <c r="D10" s="269"/>
      <c r="E10" s="270"/>
      <c r="F10" s="329"/>
      <c r="H10" s="271"/>
      <c r="I10" s="1208"/>
      <c r="J10" s="1209"/>
      <c r="K10" s="209"/>
      <c r="L10" s="157"/>
      <c r="M10" s="256"/>
      <c r="N10" s="899"/>
      <c r="O10" s="1219"/>
      <c r="P10" s="1219"/>
      <c r="Q10" s="1219"/>
      <c r="R10" s="1219"/>
      <c r="S10" s="1219"/>
      <c r="T10" s="900"/>
      <c r="U10" s="256"/>
    </row>
    <row r="11" spans="1:21" ht="14.4" customHeight="1" x14ac:dyDescent="0.2">
      <c r="A11" s="181"/>
      <c r="B11" s="312"/>
      <c r="C11" s="268"/>
      <c r="D11" s="269"/>
      <c r="E11" s="270"/>
      <c r="F11" s="329"/>
      <c r="H11" s="271"/>
      <c r="I11" s="1210"/>
      <c r="J11" s="1211"/>
      <c r="K11" s="209"/>
      <c r="L11" s="157"/>
      <c r="M11" s="256"/>
      <c r="N11" s="899"/>
      <c r="O11" s="1219"/>
      <c r="P11" s="1219"/>
      <c r="Q11" s="1219"/>
      <c r="R11" s="1219"/>
      <c r="S11" s="1219"/>
      <c r="T11" s="900"/>
      <c r="U11" s="256"/>
    </row>
    <row r="12" spans="1:21" s="180" customFormat="1" ht="30" customHeight="1" x14ac:dyDescent="0.25">
      <c r="A12" s="169"/>
      <c r="B12" s="273"/>
      <c r="C12" s="173">
        <v>1</v>
      </c>
      <c r="D12" s="173" t="str">
        <f>IF(VLOOKUP(CONCATENATE($C$3,"-",C12),Languages!$A:$D,1,TRUE)=CONCATENATE($C$3,"-",C12),VLOOKUP(CONCATENATE($C$3,"-",C12),Languages!$A:$D,Summary!$C$7,TRUE),NA())</f>
        <v>Kumppaniverkoston tunnistaminen ja priorisointi</v>
      </c>
      <c r="E12" s="173"/>
      <c r="F12" s="275"/>
      <c r="G12" s="275"/>
      <c r="H12" s="276"/>
      <c r="I12" s="276"/>
      <c r="J12" s="276"/>
      <c r="K12" s="276"/>
      <c r="L12" s="157"/>
      <c r="M12" s="256"/>
      <c r="N12" s="899"/>
      <c r="O12" s="1219"/>
      <c r="P12" s="1219"/>
      <c r="Q12" s="1219"/>
      <c r="R12" s="1219"/>
      <c r="S12" s="1219"/>
      <c r="T12" s="900"/>
      <c r="U12" s="256"/>
    </row>
    <row r="13" spans="1:21" s="282" customFormat="1" ht="37.799999999999997" customHeight="1" x14ac:dyDescent="0.2">
      <c r="A13" s="279"/>
      <c r="B13" s="280"/>
      <c r="C13" s="1223" t="str">
        <f>IF(VLOOKUP(CONCATENATE($C$3,"-",$C12,"-0"),Languages!$A:$D,1,TRUE)=CONCATENATE($C$3,"-",$C12,"-0"),VLOOKUP(CONCATENATE($C$3,"-",$C12,"-0"),Languages!$A:$D,Summary!$C$7,TRUE),NA())</f>
        <v>Riippuvuuksien tunnistamiseen kuuluu, että organisaatio tunnistaa ja ymmärtää perusteellisesti (toiminnan osa-alueen toimintavarmuuden kannalta) tärkeimmät ulkoiset suhteet toimittajiin, alihankkijoihin ja muihin kolmansiin osapuoliin.</v>
      </c>
      <c r="D13" s="1223"/>
      <c r="E13" s="1223"/>
      <c r="F13" s="1223"/>
      <c r="G13" s="1223"/>
      <c r="H13" s="1223"/>
      <c r="I13" s="1223"/>
      <c r="J13" s="1223"/>
      <c r="K13" s="1223"/>
      <c r="L13" s="157"/>
      <c r="M13" s="256"/>
      <c r="N13" s="899"/>
      <c r="O13" s="1219"/>
      <c r="P13" s="1219"/>
      <c r="Q13" s="1219"/>
      <c r="R13" s="1219"/>
      <c r="S13" s="1219"/>
      <c r="T13" s="900"/>
      <c r="U13" s="256"/>
    </row>
    <row r="14" spans="1:21" s="180" customFormat="1" ht="30" customHeight="1" x14ac:dyDescent="0.25">
      <c r="A14" s="169"/>
      <c r="B14" s="273"/>
      <c r="C14" s="173">
        <v>2</v>
      </c>
      <c r="D14" s="173" t="str">
        <f>IF(VLOOKUP(CONCATENATE($C$3,"-",C14),Languages!$A:$D,1,TRUE)=CONCATENATE($C$3,"-",C14),VLOOKUP(CONCATENATE($C$3,"-",C14),Languages!$A:$D,Summary!$C$7,TRUE),NA())</f>
        <v>Kumppaniverkostoon liittyvien riskien hallinta</v>
      </c>
      <c r="E14" s="173"/>
      <c r="F14" s="296"/>
      <c r="G14" s="296" t="s">
        <v>16</v>
      </c>
      <c r="H14" s="297"/>
      <c r="I14" s="297"/>
      <c r="J14" s="297"/>
      <c r="K14" s="297"/>
      <c r="L14" s="157"/>
      <c r="M14" s="256"/>
      <c r="N14" s="899"/>
      <c r="O14" s="1219"/>
      <c r="P14" s="1219"/>
      <c r="Q14" s="1219"/>
      <c r="R14" s="1219"/>
      <c r="S14" s="1219"/>
      <c r="T14" s="900"/>
      <c r="U14" s="256"/>
    </row>
    <row r="15" spans="1:21" s="282" customFormat="1" ht="79.8" customHeight="1" x14ac:dyDescent="0.2">
      <c r="A15" s="279"/>
      <c r="B15" s="280"/>
      <c r="C15" s="1223" t="str">
        <f>IF(VLOOKUP(CONCATENATE($C$3,"-",$C14,"-0"),Languages!$A:$D,1,TRUE)=CONCATENATE($C$3,"-",$C14,"-0"),VLOOKUP(CONCATENATE($C$3,"-",$C14,"-0"),Languages!$A:$D,Summary!$C$7,TRUE),NA())</f>
        <v>Riippuvuusriskien hallinta sisältää hallintatoimenpiteitä kuten riippumatonta testausta, koodikatselmointeja, haavoittuvuusskannauksia tai turvallisen ohjelmistokehityksen vaatimuksia. Toimittajien, alihankkijoiden ja muiden kolmansien osapuolten kanssa solmitut sopimukset tuotteista ja palveluista tulee tarkastaa ja hyväksyttää kyberriskien hallinnan näkökulmasta. Sopimuksissa voidaan esimerkiksi velvoittaa toimittajia noudattamaan tiettyjä kyberturvallisuusstandardeja, -ohjeistuksia tai -vaatimuksia ja edellyttää, että toimittaja täyttää (tai ylittää) nuo vaatimukset. Palvelutasosopimuksissa ("service level agreement, SLA") voidaan asettaa valvonta- ja auditointivaatimukset varmistamaan, että toimittajat ja palvelut täyttävät niille asetetut kyberturvallisuus- ja toimintakykyvaatimukset.</v>
      </c>
      <c r="D15" s="1223"/>
      <c r="E15" s="1223"/>
      <c r="F15" s="1223"/>
      <c r="G15" s="1223"/>
      <c r="H15" s="1223"/>
      <c r="I15" s="1223"/>
      <c r="J15" s="1223"/>
      <c r="K15" s="1223"/>
      <c r="L15" s="157"/>
      <c r="M15" s="256"/>
      <c r="N15" s="899"/>
      <c r="O15" s="1219"/>
      <c r="P15" s="1219"/>
      <c r="Q15" s="1219"/>
      <c r="R15" s="1219"/>
      <c r="S15" s="1219"/>
      <c r="T15" s="900"/>
      <c r="U15" s="256"/>
    </row>
    <row r="16" spans="1:21" s="180" customFormat="1" ht="30" customHeight="1" x14ac:dyDescent="0.25">
      <c r="A16" s="169"/>
      <c r="B16" s="273"/>
      <c r="C16" s="173">
        <v>3</v>
      </c>
      <c r="D16" s="173" t="str">
        <f>IF(VLOOKUP(CONCATENATE($C$3,"-",C16),Languages!$A:$D,1,TRUE)=CONCATENATE($C$3,"-",C16),VLOOKUP(CONCATENATE($C$3,"-",C16),Languages!$A:$D,Summary!$C$7,TRUE),NA())</f>
        <v>Yleisiä hallintatoimia</v>
      </c>
      <c r="E16" s="173"/>
      <c r="F16" s="296"/>
      <c r="G16" s="296" t="s">
        <v>16</v>
      </c>
      <c r="H16" s="297"/>
      <c r="I16" s="297"/>
      <c r="J16" s="297"/>
      <c r="K16" s="297"/>
      <c r="L16" s="157"/>
      <c r="M16" s="256"/>
      <c r="N16" s="899"/>
      <c r="O16" s="1219"/>
      <c r="P16" s="1219"/>
      <c r="Q16" s="1219"/>
      <c r="R16" s="1219"/>
      <c r="S16" s="1219"/>
      <c r="T16" s="900"/>
      <c r="U16" s="256"/>
    </row>
    <row r="17" spans="1:21" s="282" customFormat="1" ht="56.4" customHeight="1" x14ac:dyDescent="0.2">
      <c r="A17" s="309"/>
      <c r="B17" s="310"/>
      <c r="C17" s="1223" t="str">
        <f>IF(VLOOKUP(CONCATENATE($C$3,"-",$C16,"-0"),Languages!$A:$D,1,TRUE)=CONCATENATE($C$3,"-",$C16,"-0"),VLOOKUP(CONCATENATE($C$3,"-",$C16,"-0"),Languages!$A:$D,Summary!$C$7,TRUE),NA())</f>
        <v>Yleisillä hallintatoimilla arvioidaan sitä, kuinka syvällisesti osion kyberturvallisuuskäytännöt ovat juurtuneet osaksi organisaation toimintaa. Mitä syvemmin käytännöt ovat osa organisaation päivittäistä tekemistä sitä todennäköisempää on, että organisaatio noudattaa niitä myös kriisitilanteissa ja ajan kuluessa. Toisin sanoen, toiminta säilyy säännöllisenä, toistettavana ja korkealaatuisena.</v>
      </c>
      <c r="D17" s="1223"/>
      <c r="E17" s="1223"/>
      <c r="F17" s="1223"/>
      <c r="G17" s="1223"/>
      <c r="H17" s="1223"/>
      <c r="I17" s="1223"/>
      <c r="J17" s="1223"/>
      <c r="K17" s="1223"/>
      <c r="L17" s="157"/>
      <c r="M17" s="256"/>
      <c r="N17" s="901"/>
      <c r="O17" s="1220"/>
      <c r="P17" s="1220"/>
      <c r="Q17" s="1220"/>
      <c r="R17" s="1220"/>
      <c r="S17" s="1220"/>
      <c r="T17" s="902"/>
      <c r="U17" s="256"/>
    </row>
    <row r="18" spans="1:21" s="282" customFormat="1" ht="18" customHeight="1" x14ac:dyDescent="0.25">
      <c r="A18" s="309"/>
      <c r="B18" s="734"/>
      <c r="C18" s="734"/>
      <c r="D18" s="734"/>
      <c r="E18" s="734"/>
      <c r="F18" s="734"/>
      <c r="G18" s="734"/>
      <c r="H18" s="734"/>
      <c r="I18" s="734"/>
      <c r="J18" s="734"/>
      <c r="K18" s="734"/>
      <c r="L18" s="735"/>
      <c r="M18" s="138"/>
      <c r="N18" s="138"/>
      <c r="O18" s="255"/>
      <c r="P18" s="254"/>
      <c r="Q18" s="855"/>
      <c r="R18" s="254"/>
      <c r="S18" s="254"/>
      <c r="T18" s="138"/>
      <c r="U18" s="138"/>
    </row>
    <row r="19" spans="1:21" s="282" customFormat="1" ht="19.95" customHeight="1" x14ac:dyDescent="0.2">
      <c r="A19" s="309"/>
      <c r="B19" s="723"/>
      <c r="C19" s="721"/>
      <c r="D19" s="721"/>
      <c r="E19" s="721"/>
      <c r="F19" s="721"/>
      <c r="G19" s="721"/>
      <c r="H19" s="721"/>
      <c r="I19" s="721"/>
      <c r="J19" s="721"/>
      <c r="K19" s="721"/>
      <c r="L19" s="722"/>
      <c r="M19" s="256"/>
      <c r="N19" s="504" t="str">
        <f>IF(VLOOKUP("KM116",Languages!$A:$D,1,TRUE)="KM116",VLOOKUP("KM116",Languages!$A:$D,Summary!$C$7,TRUE),NA())</f>
        <v>EDELLINEN ARVIOINTI</v>
      </c>
      <c r="O19" s="442"/>
      <c r="P19" s="259"/>
      <c r="Q19" s="856" t="str">
        <f>IF(VLOOKUP("KM110",Languages!$A:$D,1,TRUE)="KM110",VLOOKUP("KM110",Languages!$A:$D,Summary!$C$7,TRUE),NA())</f>
        <v>Päivämäärä</v>
      </c>
      <c r="R19" s="259"/>
      <c r="S19" s="259"/>
      <c r="T19" s="150"/>
      <c r="U19" s="256"/>
    </row>
    <row r="20" spans="1:21" s="180" customFormat="1" ht="19.95" customHeight="1" x14ac:dyDescent="0.25">
      <c r="A20" s="782"/>
      <c r="B20" s="273"/>
      <c r="C20" s="173">
        <v>1</v>
      </c>
      <c r="D20" s="173" t="str">
        <f>IF(VLOOKUP(CONCATENATE($C$3,"-",C20),Languages!$A:$D,1,TRUE)=CONCATENATE($C$3,"-",C20),VLOOKUP(CONCATENATE($C$3,"-",C20),Languages!$A:$D,Summary!$C$7,TRUE),NA())</f>
        <v>Kumppaniverkoston tunnistaminen ja priorisointi</v>
      </c>
      <c r="E20" s="173"/>
      <c r="F20" s="275"/>
      <c r="G20" s="275"/>
      <c r="H20" s="276"/>
      <c r="I20" s="276"/>
      <c r="J20" s="276"/>
      <c r="K20" s="276"/>
      <c r="L20" s="157"/>
      <c r="M20" s="309"/>
      <c r="N20" s="310"/>
      <c r="O20" s="443"/>
      <c r="P20" s="438"/>
      <c r="Q20" s="781"/>
      <c r="R20" s="854"/>
      <c r="S20" s="854"/>
      <c r="T20" s="281"/>
      <c r="U20" s="309"/>
    </row>
    <row r="21" spans="1:21" s="289" customFormat="1" ht="19.95" customHeight="1" x14ac:dyDescent="0.2">
      <c r="A21" s="308"/>
      <c r="B21" s="283"/>
      <c r="C21" s="284" t="str">
        <f>IF(VLOOKUP("GEN-LEVEL",Languages!$A:$D,1,TRUE)="GEN-LEVEL",VLOOKUP("GEN-LEVEL",Languages!$A:$D,Summary!$C$7,TRUE),NA())</f>
        <v>Taso</v>
      </c>
      <c r="D21" s="284"/>
      <c r="E21" s="285" t="str">
        <f>IF(VLOOKUP("GEN-PRACTICE",Languages!$A:$D,1,TRUE)="GEN-PRACTICE",VLOOKUP("GEN-PRACTICE",Languages!$A:$D,Summary!$C$7,TRUE),NA())</f>
        <v>Käytäntö</v>
      </c>
      <c r="F21" s="286"/>
      <c r="G21" s="1003" t="str">
        <f>IF(VLOOKUP("GEN-ANSWER",Languages!$A:$D,1,TRUE)="GEN-ANSWER",VLOOKUP("GEN-ANSWER",Languages!$A:$D,Summary!$C$7,TRUE),NA())</f>
        <v>Vastaus</v>
      </c>
      <c r="H21" s="1004" t="str">
        <f>IF(VLOOKUP("KM112",Languages!$A:$D,1,TRUE)="KM112",VLOOKUP("KM112",Languages!$A:$D,Summary!$C$7,TRUE),NA())</f>
        <v>Kommentit</v>
      </c>
      <c r="I21" s="1004" t="str">
        <f>IF(VLOOKUP("KM113",Languages!$A:$D,1,TRUE)="KM113",VLOOKUP("KM113",Languages!$A:$D,Summary!$C$7,TRUE),NA())</f>
        <v>Sisäinen viittaus</v>
      </c>
      <c r="J21" s="1004" t="str">
        <f>IF(VLOOKUP("KM114",Languages!$A:$D,1,TRUE)="KM114",VLOOKUP("KM114",Languages!$A:$D,Summary!$C$7,TRUE),NA())</f>
        <v>Ulkoinen viittaus</v>
      </c>
      <c r="K21" s="1004" t="str">
        <f>IF(VLOOKUP("KM115",Languages!$A:$D,1,TRUE)="KM115",VLOOKUP("KM115",Languages!$A:$D,Summary!$C$7,TRUE),NA())</f>
        <v>Kehityskohde</v>
      </c>
      <c r="L21" s="287"/>
      <c r="M21" s="288"/>
      <c r="N21" s="283"/>
      <c r="O21" s="503" t="str">
        <f>IF(VLOOKUP("GEN-ANSWER",Languages!$A:$D,1,TRUE)="GEN-ANSWER",VLOOKUP("GEN-ANSWER",Languages!$A:$D,Summary!$C$7,TRUE),NA())</f>
        <v>Vastaus</v>
      </c>
      <c r="P21" s="503" t="str">
        <f>IF(VLOOKUP("KM112",Languages!$A:$D,1,TRUE)="KM112",VLOOKUP("KM112",Languages!$A:$D,Summary!$C$7,TRUE),NA())</f>
        <v>Kommentit</v>
      </c>
      <c r="Q21" s="503" t="str">
        <f>IF(VLOOKUP("KM113",Languages!$A:$D,1,TRUE)="KM113",VLOOKUP("KM113",Languages!$A:$D,Summary!$C$7,TRUE),NA())</f>
        <v>Sisäinen viittaus</v>
      </c>
      <c r="R21" s="503" t="str">
        <f>IF(VLOOKUP("KM114",Languages!$A:$D,1,TRUE)="KM114",VLOOKUP("KM114",Languages!$A:$D,Summary!$C$7,TRUE),NA())</f>
        <v>Ulkoinen viittaus</v>
      </c>
      <c r="S21" s="503" t="str">
        <f>IF(VLOOKUP("KM115",Languages!$A:$D,1,TRUE)="KM115",VLOOKUP("KM115",Languages!$A:$D,Summary!$C$7,TRUE),NA())</f>
        <v>Kehityskohde</v>
      </c>
      <c r="T21" s="287"/>
      <c r="U21" s="288"/>
    </row>
    <row r="22" spans="1:21" s="293" customFormat="1" ht="75" customHeight="1" x14ac:dyDescent="0.2">
      <c r="A22" s="279"/>
      <c r="B22" s="1204"/>
      <c r="C22" s="1248">
        <v>1</v>
      </c>
      <c r="D22" s="397" t="s">
        <v>5</v>
      </c>
      <c r="E22" s="507" t="str">
        <f>IF(VLOOKUP(CONCATENATE($C$3,"-",$D22),Languages!$A:$D,1,TRUE)=CONCATENATE($C$3,"-",$D22),VLOOKUP(CONCATENATE($C$3,"-",$D22),Languages!$A:$D,Summary!$C$7,TRUE),NA())</f>
        <v>Merkittävät kumppaniverkoston IT-riippuvuudet (ja mahdolliset OT-riippuvuudet) on tunnistettu (tällä tarkoitetaan sellaisia sisäisiä tai ulkoisia toimijoita, joista toiminto on riippuvainen - mukaan lukien toimintojen operoinnista vastaavat kumppanit). Tasolla 1 tämän ei tarvitse olla systemaattista ja säännöllistä.</v>
      </c>
      <c r="F22" s="396">
        <f>IFERROR(INT(LEFT($G22,1)),0)</f>
        <v>0</v>
      </c>
      <c r="G22" s="485"/>
      <c r="H22" s="486"/>
      <c r="I22" s="486"/>
      <c r="J22" s="486"/>
      <c r="K22" s="487"/>
      <c r="L22" s="157"/>
      <c r="M22" s="256"/>
      <c r="N22" s="152"/>
      <c r="O22" s="988" t="str">
        <f>VLOOKUP(VLOOKUP($C$3&amp;"-"&amp;$D22,Import!$C:$D,2,FALSE),Parameters!$C$18:$F$22,Summary!$C$7,FALSE)</f>
        <v xml:space="preserve">0 - Vastaus puuttuu </v>
      </c>
      <c r="P22" s="1032" t="str">
        <f>IF(VLOOKUP($C$3&amp;"-"&amp;$D22,Import!$C:$H,3,FALSE)=0,"",VLOOKUP($C$3&amp;"-"&amp;$D22,Import!$C:$H,3,FALSE))</f>
        <v/>
      </c>
      <c r="Q22" s="1032" t="str">
        <f>IF(VLOOKUP($C$3&amp;"-"&amp;$D22,Import!$C:$H,4,FALSE)=0,"",VLOOKUP($C$3&amp;"-"&amp;$D22,Import!$C:$H,4,FALSE))</f>
        <v/>
      </c>
      <c r="R22" s="1032" t="str">
        <f>IF(VLOOKUP($C$3&amp;"-"&amp;$D22,Import!$C:$H,5,FALSE)=0,"",VLOOKUP($C$3&amp;"-"&amp;$D22,Import!$C:$H,5,FALSE))</f>
        <v/>
      </c>
      <c r="S22" s="1033" t="str">
        <f>IF(VLOOKUP($C$3&amp;"-"&amp;$D22,Import!$C:$H,6,FALSE)=0,"",VLOOKUP($C$3&amp;"-"&amp;$D22,Import!$C:$H,6,FALSE))</f>
        <v/>
      </c>
      <c r="T22" s="157"/>
      <c r="U22" s="256"/>
    </row>
    <row r="23" spans="1:21" s="293" customFormat="1" ht="60" customHeight="1" x14ac:dyDescent="0.2">
      <c r="A23" s="279"/>
      <c r="B23" s="1204"/>
      <c r="C23" s="1250"/>
      <c r="D23" s="418" t="s">
        <v>7</v>
      </c>
      <c r="E23" s="514" t="str">
        <f>IF(VLOOKUP(CONCATENATE($C$3,"-",$D23),Languages!$A:$D,1,TRUE)=CONCATENATE($C$3,"-",$D23),VLOOKUP(CONCATENATE($C$3,"-",$D23),Languages!$A:$D,Summary!$C$7,TRUE),NA())</f>
        <v>Kumppaniverkoston toimijat, jotka omistavat, hallinnoivat tai pääsevät muutoin käyttämään toiminnon kannalta tärkeitä laitteita, ohjelmistoja tai tietovarantoja, on tunnistettu. Tasolla 1 tämän ei tarvitse olla systemaattista ja säännöllistä.</v>
      </c>
      <c r="F23" s="403">
        <f>IFERROR(INT(LEFT($G23,1)),0)</f>
        <v>0</v>
      </c>
      <c r="G23" s="489"/>
      <c r="H23" s="481"/>
      <c r="I23" s="481"/>
      <c r="J23" s="481"/>
      <c r="K23" s="490"/>
      <c r="L23" s="157"/>
      <c r="M23" s="256"/>
      <c r="N23" s="152"/>
      <c r="O23" s="996" t="str">
        <f>VLOOKUP(VLOOKUP($C$3&amp;"-"&amp;$D23,Import!$C:$D,2,FALSE),Parameters!$C$18:$F$22,Summary!$C$7,FALSE)</f>
        <v xml:space="preserve">0 - Vastaus puuttuu </v>
      </c>
      <c r="P23" s="1034" t="str">
        <f>IF(VLOOKUP($C$3&amp;"-"&amp;$D23,Import!$C:$H,3,FALSE)=0,"",VLOOKUP($C$3&amp;"-"&amp;$D23,Import!$C:$H,3,FALSE))</f>
        <v/>
      </c>
      <c r="Q23" s="1034" t="str">
        <f>IF(VLOOKUP($C$3&amp;"-"&amp;$D23,Import!$C:$H,4,FALSE)=0,"",VLOOKUP($C$3&amp;"-"&amp;$D23,Import!$C:$H,4,FALSE))</f>
        <v/>
      </c>
      <c r="R23" s="1034" t="str">
        <f>IF(VLOOKUP($C$3&amp;"-"&amp;$D23,Import!$C:$H,5,FALSE)=0,"",VLOOKUP($C$3&amp;"-"&amp;$D23,Import!$C:$H,5,FALSE))</f>
        <v/>
      </c>
      <c r="S23" s="1035" t="str">
        <f>IF(VLOOKUP($C$3&amp;"-"&amp;$D23,Import!$C:$H,6,FALSE)=0,"",VLOOKUP($C$3&amp;"-"&amp;$D23,Import!$C:$H,6,FALSE))</f>
        <v/>
      </c>
      <c r="T23" s="157"/>
      <c r="U23" s="256"/>
    </row>
    <row r="24" spans="1:21" s="293" customFormat="1" ht="60" customHeight="1" x14ac:dyDescent="0.2">
      <c r="A24" s="279"/>
      <c r="B24" s="1204"/>
      <c r="C24" s="1231">
        <v>2</v>
      </c>
      <c r="D24" s="397" t="s">
        <v>8</v>
      </c>
      <c r="E24" s="507" t="str">
        <f>IF(VLOOKUP(CONCATENATE($C$3,"-",$D24),Languages!$A:$D,1,TRUE)=CONCATENATE($C$3,"-",$D24),VLOOKUP(CONCATENATE($C$3,"-",$D24),Languages!$A:$D,Summary!$C$7,TRUE),NA())</f>
        <v>Kumppaniverkoston toimijat on priorisoitu käyttäen määriteltyjä kriteerejä (esimerkiksi tärkeys toiminnolle, mahdollisen loukkauksen tai häiriötilanteen vaikutus, mahdollisuus neuvotella sopimuksiin asetettavista kyberturvallisuusvaatimuksista).</v>
      </c>
      <c r="F24" s="396">
        <f>IFERROR(INT(LEFT($G24,1)),0)</f>
        <v>0</v>
      </c>
      <c r="G24" s="485"/>
      <c r="H24" s="486"/>
      <c r="I24" s="486"/>
      <c r="J24" s="486"/>
      <c r="K24" s="487"/>
      <c r="L24" s="157"/>
      <c r="M24" s="256"/>
      <c r="N24" s="152"/>
      <c r="O24" s="988" t="str">
        <f>VLOOKUP(VLOOKUP($C$3&amp;"-"&amp;$D24,Import!$C:$D,2,FALSE),Parameters!$C$18:$F$22,Summary!$C$7,FALSE)</f>
        <v xml:space="preserve">0 - Vastaus puuttuu </v>
      </c>
      <c r="P24" s="1032" t="str">
        <f>IF(VLOOKUP($C$3&amp;"-"&amp;$D24,Import!$C:$H,3,FALSE)=0,"",VLOOKUP($C$3&amp;"-"&amp;$D24,Import!$C:$H,3,FALSE))</f>
        <v/>
      </c>
      <c r="Q24" s="1032" t="str">
        <f>IF(VLOOKUP($C$3&amp;"-"&amp;$D24,Import!$C:$H,4,FALSE)=0,"",VLOOKUP($C$3&amp;"-"&amp;$D24,Import!$C:$H,4,FALSE))</f>
        <v/>
      </c>
      <c r="R24" s="1032" t="str">
        <f>IF(VLOOKUP($C$3&amp;"-"&amp;$D24,Import!$C:$H,5,FALSE)=0,"",VLOOKUP($C$3&amp;"-"&amp;$D24,Import!$C:$H,5,FALSE))</f>
        <v/>
      </c>
      <c r="S24" s="1033" t="str">
        <f>IF(VLOOKUP($C$3&amp;"-"&amp;$D24,Import!$C:$H,6,FALSE)=0,"",VLOOKUP($C$3&amp;"-"&amp;$D24,Import!$C:$H,6,FALSE))</f>
        <v/>
      </c>
      <c r="T24" s="157"/>
      <c r="U24" s="256"/>
    </row>
    <row r="25" spans="1:21" s="293" customFormat="1" ht="72" customHeight="1" x14ac:dyDescent="0.2">
      <c r="A25" s="279"/>
      <c r="B25" s="1204"/>
      <c r="C25" s="1233"/>
      <c r="D25" s="418" t="s">
        <v>9</v>
      </c>
      <c r="E25" s="512" t="str">
        <f>IF(VLOOKUP(CONCATENATE($C$3,"-",$D25),Languages!$A:$D,1,TRUE)=CONCATENATE($C$3,"-",$D25),VLOOKUP(CONCATENATE($C$3,"-",$D25),Languages!$A:$D,Summary!$C$7,TRUE),NA())</f>
        <v>Korotettu prioriteetti on osoitettu sellaisille toimittajille ja muille kumppaniverkoston toimijoille, joiden vaarantuminen tai häiriintyminen voisi johtaa merkittäviin seuraamuksiin (esimerkiksi riippuvuudet yksittäisistä toimittajista tai toimittajista, joilla on erityisoikeuksia).</v>
      </c>
      <c r="F25" s="403">
        <f>IFERROR(INT(LEFT($G25,1)),0)</f>
        <v>0</v>
      </c>
      <c r="G25" s="489"/>
      <c r="H25" s="481"/>
      <c r="I25" s="481"/>
      <c r="J25" s="481"/>
      <c r="K25" s="490"/>
      <c r="L25" s="157"/>
      <c r="M25" s="256"/>
      <c r="N25" s="152"/>
      <c r="O25" s="996" t="str">
        <f>VLOOKUP(VLOOKUP($C$3&amp;"-"&amp;$D25,Import!$C:$D,2,FALSE),Parameters!$C$18:$F$22,Summary!$C$7,FALSE)</f>
        <v xml:space="preserve">0 - Vastaus puuttuu </v>
      </c>
      <c r="P25" s="1034" t="str">
        <f>IF(VLOOKUP($C$3&amp;"-"&amp;$D25,Import!$C:$H,3,FALSE)=0,"",VLOOKUP($C$3&amp;"-"&amp;$D25,Import!$C:$H,3,FALSE))</f>
        <v/>
      </c>
      <c r="Q25" s="1034" t="str">
        <f>IF(VLOOKUP($C$3&amp;"-"&amp;$D25,Import!$C:$H,4,FALSE)=0,"",VLOOKUP($C$3&amp;"-"&amp;$D25,Import!$C:$H,4,FALSE))</f>
        <v/>
      </c>
      <c r="R25" s="1034" t="str">
        <f>IF(VLOOKUP($C$3&amp;"-"&amp;$D25,Import!$C:$H,5,FALSE)=0,"",VLOOKUP($C$3&amp;"-"&amp;$D25,Import!$C:$H,5,FALSE))</f>
        <v/>
      </c>
      <c r="S25" s="1035" t="str">
        <f>IF(VLOOKUP($C$3&amp;"-"&amp;$D25,Import!$C:$H,6,FALSE)=0,"",VLOOKUP($C$3&amp;"-"&amp;$D25,Import!$C:$H,6,FALSE))</f>
        <v/>
      </c>
      <c r="T25" s="157"/>
      <c r="U25" s="256"/>
    </row>
    <row r="26" spans="1:21" s="293" customFormat="1" ht="45" customHeight="1" x14ac:dyDescent="0.2">
      <c r="A26" s="279"/>
      <c r="B26" s="1204"/>
      <c r="C26" s="572">
        <v>3</v>
      </c>
      <c r="D26" s="425" t="s">
        <v>10</v>
      </c>
      <c r="E26" s="538" t="str">
        <f>IF(VLOOKUP(CONCATENATE($C$3,"-",$D26),Languages!$A:$D,1,TRUE)=CONCATENATE($C$3,"-",$D26),VLOOKUP(CONCATENATE($C$3,"-",$D26),Languages!$A:$D,Summary!$C$7,TRUE),NA())</f>
        <v>Toimittajien ja muiden kumppaniverkoston toimijoiden priorisointia päivitetään aika ajoin ja määriteltyjen tilanteiden kuten järjestelmämuutosten tai ulkoisten tapahtumien yhteydessä.</v>
      </c>
      <c r="F26" s="401">
        <f>IFERROR(INT(LEFT($G26,1)),0)</f>
        <v>0</v>
      </c>
      <c r="G26" s="496"/>
      <c r="H26" s="494"/>
      <c r="I26" s="494"/>
      <c r="J26" s="494"/>
      <c r="K26" s="495"/>
      <c r="L26" s="157"/>
      <c r="M26" s="256"/>
      <c r="N26" s="152"/>
      <c r="O26" s="985" t="str">
        <f>VLOOKUP(VLOOKUP($C$3&amp;"-"&amp;$D26,Import!$C:$D,2,FALSE),Parameters!$C$18:$F$22,Summary!$C$7,FALSE)</f>
        <v xml:space="preserve">0 - Vastaus puuttuu </v>
      </c>
      <c r="P26" s="1026" t="str">
        <f>IF(VLOOKUP($C$3&amp;"-"&amp;$D26,Import!$C:$H,3,FALSE)=0,"",VLOOKUP($C$3&amp;"-"&amp;$D26,Import!$C:$H,3,FALSE))</f>
        <v/>
      </c>
      <c r="Q26" s="1026" t="str">
        <f>IF(VLOOKUP($C$3&amp;"-"&amp;$D26,Import!$C:$H,4,FALSE)=0,"",VLOOKUP($C$3&amp;"-"&amp;$D26,Import!$C:$H,4,FALSE))</f>
        <v/>
      </c>
      <c r="R26" s="1026" t="str">
        <f>IF(VLOOKUP($C$3&amp;"-"&amp;$D26,Import!$C:$H,5,FALSE)=0,"",VLOOKUP($C$3&amp;"-"&amp;$D26,Import!$C:$H,5,FALSE))</f>
        <v/>
      </c>
      <c r="S26" s="1027" t="str">
        <f>IF(VLOOKUP($C$3&amp;"-"&amp;$D26,Import!$C:$H,6,FALSE)=0,"",VLOOKUP($C$3&amp;"-"&amp;$D26,Import!$C:$H,6,FALSE))</f>
        <v/>
      </c>
      <c r="T26" s="157"/>
      <c r="U26" s="256"/>
    </row>
    <row r="27" spans="1:21" s="180" customFormat="1" ht="30" customHeight="1" x14ac:dyDescent="0.25">
      <c r="A27" s="169"/>
      <c r="B27" s="273"/>
      <c r="C27" s="173">
        <v>2</v>
      </c>
      <c r="D27" s="173" t="str">
        <f>IF(VLOOKUP(CONCATENATE($C$3,"-",C27),Languages!$A:$D,1,TRUE)=CONCATENATE($C$3,"-",C27),VLOOKUP(CONCATENATE($C$3,"-",C27),Languages!$A:$D,Summary!$C$7,TRUE),NA())</f>
        <v>Kumppaniverkostoon liittyvien riskien hallinta</v>
      </c>
      <c r="E27" s="173"/>
      <c r="F27" s="296"/>
      <c r="G27" s="1006"/>
      <c r="H27" s="1030"/>
      <c r="I27" s="1030"/>
      <c r="J27" s="1030"/>
      <c r="K27" s="1030"/>
      <c r="L27" s="157"/>
      <c r="M27" s="256"/>
      <c r="N27" s="152"/>
      <c r="O27" s="296"/>
      <c r="P27" s="297"/>
      <c r="Q27" s="297"/>
      <c r="R27" s="297"/>
      <c r="S27" s="297"/>
      <c r="T27" s="157"/>
      <c r="U27" s="256"/>
    </row>
    <row r="28" spans="1:21" s="289" customFormat="1" ht="19.95" customHeight="1" x14ac:dyDescent="0.2">
      <c r="A28" s="308"/>
      <c r="B28" s="283"/>
      <c r="C28" s="284" t="str">
        <f>IF(VLOOKUP("GEN-LEVEL",Languages!$A:$D,1,TRUE)="GEN-LEVEL",VLOOKUP("GEN-LEVEL",Languages!$A:$D,Summary!$C$7,TRUE),NA())</f>
        <v>Taso</v>
      </c>
      <c r="D28" s="284"/>
      <c r="E28" s="285" t="str">
        <f>IF(VLOOKUP("GEN-PRACTICE",Languages!$A:$D,1,TRUE)="GEN-PRACTICE",VLOOKUP("GEN-PRACTICE",Languages!$A:$D,Summary!$C$7,TRUE),NA())</f>
        <v>Käytäntö</v>
      </c>
      <c r="F28" s="286"/>
      <c r="G28" s="1003" t="str">
        <f>IF(VLOOKUP("GEN-ANSWER",Languages!$A:$D,1,TRUE)="GEN-ANSWER",VLOOKUP("GEN-ANSWER",Languages!$A:$D,Summary!$C$7,TRUE),NA())</f>
        <v>Vastaus</v>
      </c>
      <c r="H28" s="1004" t="str">
        <f>IF(VLOOKUP("KM112",Languages!$A:$D,1,TRUE)="KM112",VLOOKUP("KM112",Languages!$A:$D,Summary!$C$7,TRUE),NA())</f>
        <v>Kommentit</v>
      </c>
      <c r="I28" s="1004" t="str">
        <f>IF(VLOOKUP("KM113",Languages!$A:$D,1,TRUE)="KM113",VLOOKUP("KM113",Languages!$A:$D,Summary!$C$7,TRUE),NA())</f>
        <v>Sisäinen viittaus</v>
      </c>
      <c r="J28" s="1004" t="str">
        <f>IF(VLOOKUP("KM114",Languages!$A:$D,1,TRUE)="KM114",VLOOKUP("KM114",Languages!$A:$D,Summary!$C$7,TRUE),NA())</f>
        <v>Ulkoinen viittaus</v>
      </c>
      <c r="K28" s="1004" t="str">
        <f>IF(VLOOKUP("KM115",Languages!$A:$D,1,TRUE)="KM115",VLOOKUP("KM115",Languages!$A:$D,Summary!$C$7,TRUE),NA())</f>
        <v>Kehityskohde</v>
      </c>
      <c r="L28" s="287"/>
      <c r="M28" s="288"/>
      <c r="N28" s="283"/>
      <c r="O28" s="503" t="str">
        <f>IF(VLOOKUP("GEN-ANSWER",Languages!$A:$D,1,TRUE)="GEN-ANSWER",VLOOKUP("GEN-ANSWER",Languages!$A:$D,Summary!$C$7,TRUE),NA())</f>
        <v>Vastaus</v>
      </c>
      <c r="P28" s="503" t="str">
        <f>IF(VLOOKUP("KM112",Languages!$A:$D,1,TRUE)="KM112",VLOOKUP("KM112",Languages!$A:$D,Summary!$C$7,TRUE),NA())</f>
        <v>Kommentit</v>
      </c>
      <c r="Q28" s="503" t="str">
        <f>IF(VLOOKUP("KM113",Languages!$A:$D,1,TRUE)="KM113",VLOOKUP("KM113",Languages!$A:$D,Summary!$C$7,TRUE),NA())</f>
        <v>Sisäinen viittaus</v>
      </c>
      <c r="R28" s="503" t="str">
        <f>IF(VLOOKUP("KM114",Languages!$A:$D,1,TRUE)="KM114",VLOOKUP("KM114",Languages!$A:$D,Summary!$C$7,TRUE),NA())</f>
        <v>Ulkoinen viittaus</v>
      </c>
      <c r="S28" s="503" t="str">
        <f>IF(VLOOKUP("KM115",Languages!$A:$D,1,TRUE)="KM115",VLOOKUP("KM115",Languages!$A:$D,Summary!$C$7,TRUE),NA())</f>
        <v>Kehityskohde</v>
      </c>
      <c r="T28" s="287"/>
      <c r="U28" s="288"/>
    </row>
    <row r="29" spans="1:21" s="300" customFormat="1" ht="45" customHeight="1" x14ac:dyDescent="0.2">
      <c r="A29" s="309"/>
      <c r="B29" s="1213"/>
      <c r="C29" s="1229">
        <v>1</v>
      </c>
      <c r="D29" s="406" t="s">
        <v>17</v>
      </c>
      <c r="E29" s="507" t="str">
        <f>IF(VLOOKUP(CONCATENATE($C$3,"-",$D29),Languages!$A:$D,1,TRUE)=CONCATENATE($C$3,"-",$D29),VLOOKUP(CONCATENATE($C$3,"-",$D29),Languages!$A:$D,Summary!$C$7,TRUE),NA())</f>
        <v>Toimittajien ja muiden kumppaniverkoston toimijoiden valintaan vaikuttaa arvio niiden kyberturvallisuuskelpoisuuksista. Tasolla 1 tämän ei tarvitse olla systemaattista ja säännöllistä.</v>
      </c>
      <c r="F29" s="396">
        <f t="shared" ref="F29:F39" si="0">IFERROR(INT(LEFT($G29,1)),0)</f>
        <v>0</v>
      </c>
      <c r="G29" s="485"/>
      <c r="H29" s="486"/>
      <c r="I29" s="486"/>
      <c r="J29" s="486"/>
      <c r="K29" s="487"/>
      <c r="L29" s="157"/>
      <c r="M29" s="256"/>
      <c r="N29" s="152"/>
      <c r="O29" s="988" t="str">
        <f>VLOOKUP(VLOOKUP($C$3&amp;"-"&amp;$D29,Import!$C:$D,2,FALSE),Parameters!$C$18:$F$22,Summary!$C$7,FALSE)</f>
        <v xml:space="preserve">0 - Vastaus puuttuu </v>
      </c>
      <c r="P29" s="1032" t="str">
        <f>IF(VLOOKUP($C$3&amp;"-"&amp;$D29,Import!$C:$H,3,FALSE)=0,"",VLOOKUP($C$3&amp;"-"&amp;$D29,Import!$C:$H,3,FALSE))</f>
        <v/>
      </c>
      <c r="Q29" s="1032" t="str">
        <f>IF(VLOOKUP($C$3&amp;"-"&amp;$D29,Import!$C:$H,4,FALSE)=0,"",VLOOKUP($C$3&amp;"-"&amp;$D29,Import!$C:$H,4,FALSE))</f>
        <v/>
      </c>
      <c r="R29" s="1032" t="str">
        <f>IF(VLOOKUP($C$3&amp;"-"&amp;$D29,Import!$C:$H,5,FALSE)=0,"",VLOOKUP($C$3&amp;"-"&amp;$D29,Import!$C:$H,5,FALSE))</f>
        <v/>
      </c>
      <c r="S29" s="1033" t="str">
        <f>IF(VLOOKUP($C$3&amp;"-"&amp;$D29,Import!$C:$H,6,FALSE)=0,"",VLOOKUP($C$3&amp;"-"&amp;$D29,Import!$C:$H,6,FALSE))</f>
        <v/>
      </c>
      <c r="T29" s="157"/>
      <c r="U29" s="256"/>
    </row>
    <row r="30" spans="1:21" s="300" customFormat="1" ht="45" customHeight="1" x14ac:dyDescent="0.2">
      <c r="A30" s="309"/>
      <c r="B30" s="1213"/>
      <c r="C30" s="1230"/>
      <c r="D30" s="407" t="s">
        <v>18</v>
      </c>
      <c r="E30" s="514" t="str">
        <f>IF(VLOOKUP(CONCATENATE($C$3,"-",$D30),Languages!$A:$D,1,TRUE)=CONCATENATE($C$3,"-",$D30),VLOOKUP(CONCATENATE($C$3,"-",$D30),Languages!$A:$D,Summary!$C$7,TRUE),NA())</f>
        <v>Tuotteiden ja palveluiden valintaan vaikuttaa arvio niiden kyberkyvykkyyksistä. Tasolla 1 tämän ei tarvitse olla systemaattista ja säännöllistä.</v>
      </c>
      <c r="F30" s="403">
        <f t="shared" si="0"/>
        <v>0</v>
      </c>
      <c r="G30" s="489"/>
      <c r="H30" s="484"/>
      <c r="I30" s="484"/>
      <c r="J30" s="484"/>
      <c r="K30" s="493"/>
      <c r="L30" s="157"/>
      <c r="M30" s="256"/>
      <c r="N30" s="152"/>
      <c r="O30" s="996" t="str">
        <f>VLOOKUP(VLOOKUP($C$3&amp;"-"&amp;$D30,Import!$C:$D,2,FALSE),Parameters!$C$18:$F$22,Summary!$C$7,FALSE)</f>
        <v xml:space="preserve">0 - Vastaus puuttuu </v>
      </c>
      <c r="P30" s="1024" t="str">
        <f>IF(VLOOKUP($C$3&amp;"-"&amp;$D30,Import!$C:$H,3,FALSE)=0,"",VLOOKUP($C$3&amp;"-"&amp;$D30,Import!$C:$H,3,FALSE))</f>
        <v/>
      </c>
      <c r="Q30" s="1024" t="str">
        <f>IF(VLOOKUP($C$3&amp;"-"&amp;$D30,Import!$C:$H,4,FALSE)=0,"",VLOOKUP($C$3&amp;"-"&amp;$D30,Import!$C:$H,4,FALSE))</f>
        <v/>
      </c>
      <c r="R30" s="1024" t="str">
        <f>IF(VLOOKUP($C$3&amp;"-"&amp;$D30,Import!$C:$H,5,FALSE)=0,"",VLOOKUP($C$3&amp;"-"&amp;$D30,Import!$C:$H,5,FALSE))</f>
        <v/>
      </c>
      <c r="S30" s="1025" t="str">
        <f>IF(VLOOKUP($C$3&amp;"-"&amp;$D30,Import!$C:$H,6,FALSE)=0,"",VLOOKUP($C$3&amp;"-"&amp;$D30,Import!$C:$H,6,FALSE))</f>
        <v/>
      </c>
      <c r="T30" s="157"/>
      <c r="U30" s="256"/>
    </row>
    <row r="31" spans="1:21" s="300" customFormat="1" ht="60" customHeight="1" x14ac:dyDescent="0.2">
      <c r="A31" s="309"/>
      <c r="B31" s="301"/>
      <c r="C31" s="1224">
        <v>2</v>
      </c>
      <c r="D31" s="406" t="s">
        <v>19</v>
      </c>
      <c r="E31" s="507" t="str">
        <f>IF(VLOOKUP(CONCATENATE($C$3,"-",$D31),Languages!$A:$D,1,TRUE)=CONCATENATE($C$3,"-",$D31),VLOOKUP(CONCATENATE($C$3,"-",$D31),Languages!$A:$D,Summary!$C$7,TRUE),NA())</f>
        <v>Määriteltyjä menetelmiä noudatetaan, kun tunnistetaan kyberturvallisuusvaatimuksia ja toteutetaan niihin liittyviä suojaustoimia, joilla suojaudutaan toimittajista ja kumppaniverkoston toimijoista aiheutuvilta riskeiltä.</v>
      </c>
      <c r="F31" s="396">
        <f t="shared" si="0"/>
        <v>0</v>
      </c>
      <c r="G31" s="485"/>
      <c r="H31" s="482"/>
      <c r="I31" s="482"/>
      <c r="J31" s="482"/>
      <c r="K31" s="491"/>
      <c r="L31" s="157"/>
      <c r="M31" s="256"/>
      <c r="N31" s="152"/>
      <c r="O31" s="988" t="str">
        <f>VLOOKUP(VLOOKUP($C$3&amp;"-"&amp;$D31,Import!$C:$D,2,FALSE),Parameters!$C$18:$F$22,Summary!$C$7,FALSE)</f>
        <v xml:space="preserve">0 - Vastaus puuttuu </v>
      </c>
      <c r="P31" s="1022" t="str">
        <f>IF(VLOOKUP($C$3&amp;"-"&amp;$D31,Import!$C:$H,3,FALSE)=0,"",VLOOKUP($C$3&amp;"-"&amp;$D31,Import!$C:$H,3,FALSE))</f>
        <v/>
      </c>
      <c r="Q31" s="1022" t="str">
        <f>IF(VLOOKUP($C$3&amp;"-"&amp;$D31,Import!$C:$H,4,FALSE)=0,"",VLOOKUP($C$3&amp;"-"&amp;$D31,Import!$C:$H,4,FALSE))</f>
        <v/>
      </c>
      <c r="R31" s="1022" t="str">
        <f>IF(VLOOKUP($C$3&amp;"-"&amp;$D31,Import!$C:$H,5,FALSE)=0,"",VLOOKUP($C$3&amp;"-"&amp;$D31,Import!$C:$H,5,FALSE))</f>
        <v/>
      </c>
      <c r="S31" s="1023" t="str">
        <f>IF(VLOOKUP($C$3&amp;"-"&amp;$D31,Import!$C:$H,6,FALSE)=0,"",VLOOKUP($C$3&amp;"-"&amp;$D31,Import!$C:$H,6,FALSE))</f>
        <v/>
      </c>
      <c r="T31" s="157"/>
      <c r="U31" s="256"/>
    </row>
    <row r="32" spans="1:21" s="300" customFormat="1" ht="34.950000000000003" customHeight="1" x14ac:dyDescent="0.2">
      <c r="A32" s="309"/>
      <c r="B32" s="301"/>
      <c r="C32" s="1237"/>
      <c r="D32" s="298" t="s">
        <v>20</v>
      </c>
      <c r="E32" s="508" t="str">
        <f>IF(VLOOKUP(CONCATENATE($C$3,"-",$D32),Languages!$A:$D,1,TRUE)=CONCATENATE($C$3,"-",$D32),VLOOKUP(CONCATENATE($C$3,"-",$D32),Languages!$A:$D,Summary!$C$7,TRUE),NA())</f>
        <v>Määriteltyjä menetelmiä noudatetaan, kun arvioidaan ja valitaan toimittajia ja muita kumppaniverkoston toimijoita.</v>
      </c>
      <c r="F32" s="291">
        <f t="shared" si="0"/>
        <v>0</v>
      </c>
      <c r="G32" s="311"/>
      <c r="H32" s="483"/>
      <c r="I32" s="483"/>
      <c r="J32" s="483"/>
      <c r="K32" s="492"/>
      <c r="L32" s="157"/>
      <c r="M32" s="256"/>
      <c r="N32" s="152"/>
      <c r="O32" s="991" t="str">
        <f>VLOOKUP(VLOOKUP($C$3&amp;"-"&amp;$D32,Import!$C:$D,2,FALSE),Parameters!$C$18:$F$22,Summary!$C$7,FALSE)</f>
        <v xml:space="preserve">0 - Vastaus puuttuu </v>
      </c>
      <c r="P32" s="1017" t="str">
        <f>IF(VLOOKUP($C$3&amp;"-"&amp;$D32,Import!$C:$H,3,FALSE)=0,"",VLOOKUP($C$3&amp;"-"&amp;$D32,Import!$C:$H,3,FALSE))</f>
        <v/>
      </c>
      <c r="Q32" s="1017" t="str">
        <f>IF(VLOOKUP($C$3&amp;"-"&amp;$D32,Import!$C:$H,4,FALSE)=0,"",VLOOKUP($C$3&amp;"-"&amp;$D32,Import!$C:$H,4,FALSE))</f>
        <v/>
      </c>
      <c r="R32" s="1017" t="str">
        <f>IF(VLOOKUP($C$3&amp;"-"&amp;$D32,Import!$C:$H,5,FALSE)=0,"",VLOOKUP($C$3&amp;"-"&amp;$D32,Import!$C:$H,5,FALSE))</f>
        <v/>
      </c>
      <c r="S32" s="1018" t="str">
        <f>IF(VLOOKUP($C$3&amp;"-"&amp;$D32,Import!$C:$H,6,FALSE)=0,"",VLOOKUP($C$3&amp;"-"&amp;$D32,Import!$C:$H,6,FALSE))</f>
        <v/>
      </c>
      <c r="T32" s="157"/>
      <c r="U32" s="256"/>
    </row>
    <row r="33" spans="1:21" s="300" customFormat="1" ht="34.950000000000003" customHeight="1" x14ac:dyDescent="0.2">
      <c r="A33" s="309"/>
      <c r="B33" s="301"/>
      <c r="C33" s="1237"/>
      <c r="D33" s="298" t="s">
        <v>21</v>
      </c>
      <c r="E33" s="508" t="str">
        <f>IF(VLOOKUP(CONCATENATE($C$3,"-",$D33),Languages!$A:$D,1,TRUE)=CONCATENATE($C$3,"-",$D33),VLOOKUP(CONCATENATE($C$3,"-",$D33),Languages!$A:$D,Summary!$C$7,TRUE),NA())</f>
        <v>Tiukempia suojaustoimia toteutetaan korkean prioriteetin toimittajille ja muille kumppaniverkoston toimijoille.</v>
      </c>
      <c r="F33" s="291">
        <f t="shared" si="0"/>
        <v>0</v>
      </c>
      <c r="G33" s="311"/>
      <c r="H33" s="483"/>
      <c r="I33" s="483"/>
      <c r="J33" s="483"/>
      <c r="K33" s="492"/>
      <c r="L33" s="157"/>
      <c r="M33" s="256"/>
      <c r="N33" s="152"/>
      <c r="O33" s="991" t="str">
        <f>VLOOKUP(VLOOKUP($C$3&amp;"-"&amp;$D33,Import!$C:$D,2,FALSE),Parameters!$C$18:$F$22,Summary!$C$7,FALSE)</f>
        <v xml:space="preserve">0 - Vastaus puuttuu </v>
      </c>
      <c r="P33" s="1017" t="str">
        <f>IF(VLOOKUP($C$3&amp;"-"&amp;$D33,Import!$C:$H,3,FALSE)=0,"",VLOOKUP($C$3&amp;"-"&amp;$D33,Import!$C:$H,3,FALSE))</f>
        <v/>
      </c>
      <c r="Q33" s="1017" t="str">
        <f>IF(VLOOKUP($C$3&amp;"-"&amp;$D33,Import!$C:$H,4,FALSE)=0,"",VLOOKUP($C$3&amp;"-"&amp;$D33,Import!$C:$H,4,FALSE))</f>
        <v/>
      </c>
      <c r="R33" s="1017" t="str">
        <f>IF(VLOOKUP($C$3&amp;"-"&amp;$D33,Import!$C:$H,5,FALSE)=0,"",VLOOKUP($C$3&amp;"-"&amp;$D33,Import!$C:$H,5,FALSE))</f>
        <v/>
      </c>
      <c r="S33" s="1018" t="str">
        <f>IF(VLOOKUP($C$3&amp;"-"&amp;$D33,Import!$C:$H,6,FALSE)=0,"",VLOOKUP($C$3&amp;"-"&amp;$D33,Import!$C:$H,6,FALSE))</f>
        <v/>
      </c>
      <c r="T33" s="157"/>
      <c r="U33" s="256"/>
    </row>
    <row r="34" spans="1:21" s="300" customFormat="1" ht="42.6" customHeight="1" x14ac:dyDescent="0.2">
      <c r="A34" s="309"/>
      <c r="B34" s="301"/>
      <c r="C34" s="1237"/>
      <c r="D34" s="298" t="s">
        <v>109</v>
      </c>
      <c r="E34" s="508" t="str">
        <f>IF(VLOOKUP(CONCATENATE($C$3,"-",$D34),Languages!$A:$D,1,TRUE)=CONCATENATE($C$3,"-",$D34),VLOOKUP(CONCATENATE($C$3,"-",$D34),Languages!$A:$D,Summary!$C$7,TRUE),NA())</f>
        <v>Kyberturvallisuusvaatimukset ovat virallinen osa toimittajien ja muiden kumppaniverkoston toimijoiden kanssa laadittavia sopimuksia.</v>
      </c>
      <c r="F34" s="291">
        <f t="shared" si="0"/>
        <v>0</v>
      </c>
      <c r="G34" s="311"/>
      <c r="H34" s="483"/>
      <c r="I34" s="483"/>
      <c r="J34" s="483"/>
      <c r="K34" s="492"/>
      <c r="L34" s="157"/>
      <c r="M34" s="256"/>
      <c r="N34" s="152"/>
      <c r="O34" s="991" t="str">
        <f>VLOOKUP(VLOOKUP($C$3&amp;"-"&amp;$D34,Import!$C:$D,2,FALSE),Parameters!$C$18:$F$22,Summary!$C$7,FALSE)</f>
        <v xml:space="preserve">0 - Vastaus puuttuu </v>
      </c>
      <c r="P34" s="1017" t="str">
        <f>IF(VLOOKUP($C$3&amp;"-"&amp;$D34,Import!$C:$H,3,FALSE)=0,"",VLOOKUP($C$3&amp;"-"&amp;$D34,Import!$C:$H,3,FALSE))</f>
        <v/>
      </c>
      <c r="Q34" s="1017" t="str">
        <f>IF(VLOOKUP($C$3&amp;"-"&amp;$D34,Import!$C:$H,4,FALSE)=0,"",VLOOKUP($C$3&amp;"-"&amp;$D34,Import!$C:$H,4,FALSE))</f>
        <v/>
      </c>
      <c r="R34" s="1017" t="str">
        <f>IF(VLOOKUP($C$3&amp;"-"&amp;$D34,Import!$C:$H,5,FALSE)=0,"",VLOOKUP($C$3&amp;"-"&amp;$D34,Import!$C:$H,5,FALSE))</f>
        <v/>
      </c>
      <c r="S34" s="1018" t="str">
        <f>IF(VLOOKUP($C$3&amp;"-"&amp;$D34,Import!$C:$H,6,FALSE)=0,"",VLOOKUP($C$3&amp;"-"&amp;$D34,Import!$C:$H,6,FALSE))</f>
        <v/>
      </c>
      <c r="T34" s="157"/>
      <c r="U34" s="256"/>
    </row>
    <row r="35" spans="1:21" s="300" customFormat="1" ht="34.950000000000003" customHeight="1" x14ac:dyDescent="0.2">
      <c r="A35" s="309"/>
      <c r="B35" s="301"/>
      <c r="C35" s="1225"/>
      <c r="D35" s="407" t="s">
        <v>173</v>
      </c>
      <c r="E35" s="514" t="str">
        <f>IF(VLOOKUP(CONCATENATE($C$3,"-",$D35),Languages!$A:$D,1,TRUE)=CONCATENATE($C$3,"-",$D35),VLOOKUP(CONCATENATE($C$3,"-",$D35),Languages!$A:$D,Summary!$C$7,TRUE),NA())</f>
        <v>Toimittajat ja muut kumppaniverkoston toimijat osoittavat aika ajoin kykynsä täyttää asetetut kyberturvallisuusvaatimukset.</v>
      </c>
      <c r="F35" s="403">
        <f t="shared" si="0"/>
        <v>0</v>
      </c>
      <c r="G35" s="489"/>
      <c r="H35" s="484"/>
      <c r="I35" s="484"/>
      <c r="J35" s="484"/>
      <c r="K35" s="493"/>
      <c r="L35" s="157"/>
      <c r="M35" s="256"/>
      <c r="N35" s="152"/>
      <c r="O35" s="996" t="str">
        <f>VLOOKUP(VLOOKUP($C$3&amp;"-"&amp;$D35,Import!$C:$D,2,FALSE),Parameters!$C$18:$F$22,Summary!$C$7,FALSE)</f>
        <v xml:space="preserve">0 - Vastaus puuttuu </v>
      </c>
      <c r="P35" s="1024" t="str">
        <f>IF(VLOOKUP($C$3&amp;"-"&amp;$D35,Import!$C:$H,3,FALSE)=0,"",VLOOKUP($C$3&amp;"-"&amp;$D35,Import!$C:$H,3,FALSE))</f>
        <v/>
      </c>
      <c r="Q35" s="1024" t="str">
        <f>IF(VLOOKUP($C$3&amp;"-"&amp;$D35,Import!$C:$H,4,FALSE)=0,"",VLOOKUP($C$3&amp;"-"&amp;$D35,Import!$C:$H,4,FALSE))</f>
        <v/>
      </c>
      <c r="R35" s="1024" t="str">
        <f>IF(VLOOKUP($C$3&amp;"-"&amp;$D35,Import!$C:$H,5,FALSE)=0,"",VLOOKUP($C$3&amp;"-"&amp;$D35,Import!$C:$H,5,FALSE))</f>
        <v/>
      </c>
      <c r="S35" s="1025" t="str">
        <f>IF(VLOOKUP($C$3&amp;"-"&amp;$D35,Import!$C:$H,6,FALSE)=0,"",VLOOKUP($C$3&amp;"-"&amp;$D35,Import!$C:$H,6,FALSE))</f>
        <v/>
      </c>
      <c r="T35" s="157"/>
      <c r="U35" s="256"/>
    </row>
    <row r="36" spans="1:21" s="300" customFormat="1" ht="45" customHeight="1" x14ac:dyDescent="0.2">
      <c r="A36" s="309"/>
      <c r="B36" s="301"/>
      <c r="C36" s="1226">
        <v>3</v>
      </c>
      <c r="D36" s="406" t="s">
        <v>175</v>
      </c>
      <c r="E36" s="507" t="str">
        <f>IF(VLOOKUP(CONCATENATE($C$3,"-",$D36),Languages!$A:$D,1,TRUE)=CONCATENATE($C$3,"-",$D36),VLOOKUP(CONCATENATE($C$3,"-",$D36),Languages!$A:$D,Summary!$C$7,TRUE),NA())</f>
        <v>Toimittajille ja muille kumppaniverkoston toimijoille asetetut kyberturvallisuusvaatimukset sisältävät soveltuvin osin vaatimuksia turvallisesta ohjelmisto- ja tuotekehityksestä.</v>
      </c>
      <c r="F36" s="396">
        <f t="shared" si="0"/>
        <v>0</v>
      </c>
      <c r="G36" s="485"/>
      <c r="H36" s="482"/>
      <c r="I36" s="482"/>
      <c r="J36" s="482"/>
      <c r="K36" s="491"/>
      <c r="L36" s="157"/>
      <c r="M36" s="256"/>
      <c r="N36" s="152"/>
      <c r="O36" s="988" t="str">
        <f>VLOOKUP(VLOOKUP($C$3&amp;"-"&amp;$D36,Import!$C:$D,2,FALSE),Parameters!$C$18:$F$22,Summary!$C$7,FALSE)</f>
        <v xml:space="preserve">0 - Vastaus puuttuu </v>
      </c>
      <c r="P36" s="1022" t="str">
        <f>IF(VLOOKUP($C$3&amp;"-"&amp;$D36,Import!$C:$H,3,FALSE)=0,"",VLOOKUP($C$3&amp;"-"&amp;$D36,Import!$C:$H,3,FALSE))</f>
        <v/>
      </c>
      <c r="Q36" s="1022" t="str">
        <f>IF(VLOOKUP($C$3&amp;"-"&amp;$D36,Import!$C:$H,4,FALSE)=0,"",VLOOKUP($C$3&amp;"-"&amp;$D36,Import!$C:$H,4,FALSE))</f>
        <v/>
      </c>
      <c r="R36" s="1022" t="str">
        <f>IF(VLOOKUP($C$3&amp;"-"&amp;$D36,Import!$C:$H,5,FALSE)=0,"",VLOOKUP($C$3&amp;"-"&amp;$D36,Import!$C:$H,5,FALSE))</f>
        <v/>
      </c>
      <c r="S36" s="1023" t="str">
        <f>IF(VLOOKUP($C$3&amp;"-"&amp;$D36,Import!$C:$H,6,FALSE)=0,"",VLOOKUP($C$3&amp;"-"&amp;$D36,Import!$C:$H,6,FALSE))</f>
        <v/>
      </c>
      <c r="T36" s="157"/>
      <c r="U36" s="256"/>
    </row>
    <row r="37" spans="1:21" s="300" customFormat="1" ht="42.6" customHeight="1" x14ac:dyDescent="0.2">
      <c r="A37" s="309"/>
      <c r="B37" s="301"/>
      <c r="C37" s="1228"/>
      <c r="D37" s="298" t="s">
        <v>206</v>
      </c>
      <c r="E37" s="508" t="str">
        <f>IF(VLOOKUP(CONCATENATE($C$3,"-",$D37),Languages!$A:$D,1,TRUE)=CONCATENATE($C$3,"-",$D37),VLOOKUP(CONCATENATE($C$3,"-",$D37),Languages!$A:$D,Summary!$C$7,TRUE),NA())</f>
        <v>Valintakriteereiden osana on huomioitu asianmukaisesti käyttöiän tai käyttötuen päättymisen ajankohdat.</v>
      </c>
      <c r="F37" s="291">
        <f t="shared" si="0"/>
        <v>0</v>
      </c>
      <c r="G37" s="311"/>
      <c r="H37" s="483"/>
      <c r="I37" s="483"/>
      <c r="J37" s="483"/>
      <c r="K37" s="492"/>
      <c r="L37" s="157"/>
      <c r="M37" s="256"/>
      <c r="N37" s="152"/>
      <c r="O37" s="991" t="str">
        <f>VLOOKUP(VLOOKUP($C$3&amp;"-"&amp;$D37,Import!$C:$D,2,FALSE),Parameters!$C$18:$F$22,Summary!$C$7,FALSE)</f>
        <v xml:space="preserve">0 - Vastaus puuttuu </v>
      </c>
      <c r="P37" s="1017" t="str">
        <f>IF(VLOOKUP($C$3&amp;"-"&amp;$D37,Import!$C:$H,3,FALSE)=0,"",VLOOKUP($C$3&amp;"-"&amp;$D37,Import!$C:$H,3,FALSE))</f>
        <v/>
      </c>
      <c r="Q37" s="1017" t="str">
        <f>IF(VLOOKUP($C$3&amp;"-"&amp;$D37,Import!$C:$H,4,FALSE)=0,"",VLOOKUP($C$3&amp;"-"&amp;$D37,Import!$C:$H,4,FALSE))</f>
        <v/>
      </c>
      <c r="R37" s="1017" t="str">
        <f>IF(VLOOKUP($C$3&amp;"-"&amp;$D37,Import!$C:$H,5,FALSE)=0,"",VLOOKUP($C$3&amp;"-"&amp;$D37,Import!$C:$H,5,FALSE))</f>
        <v/>
      </c>
      <c r="S37" s="1018" t="str">
        <f>IF(VLOOKUP($C$3&amp;"-"&amp;$D37,Import!$C:$H,6,FALSE)=0,"",VLOOKUP($C$3&amp;"-"&amp;$D37,Import!$C:$H,6,FALSE))</f>
        <v/>
      </c>
      <c r="T37" s="157"/>
      <c r="U37" s="256"/>
    </row>
    <row r="38" spans="1:21" s="300" customFormat="1" ht="46.2" customHeight="1" x14ac:dyDescent="0.2">
      <c r="A38" s="309"/>
      <c r="B38" s="301"/>
      <c r="C38" s="1228"/>
      <c r="D38" s="298" t="s">
        <v>208</v>
      </c>
      <c r="E38" s="508" t="str">
        <f>IF(VLOOKUP(CONCATENATE($C$3,"-",$D38),Languages!$A:$D,1,TRUE)=CONCATENATE($C$3,"-",$D38),VLOOKUP(CONCATENATE($C$3,"-",$D38),Languages!$A:$D,Summary!$C$7,TRUE),NA())</f>
        <v>Valintakriteereiden osana on huomioitu asianmukaisesti toimet väärennettyjä tai vaarantuneita ohjelmistoja, laitteita tai palveluita vastaan.</v>
      </c>
      <c r="F38" s="291">
        <f t="shared" si="0"/>
        <v>0</v>
      </c>
      <c r="G38" s="311"/>
      <c r="H38" s="483"/>
      <c r="I38" s="483"/>
      <c r="J38" s="483"/>
      <c r="K38" s="492"/>
      <c r="L38" s="157"/>
      <c r="M38" s="256"/>
      <c r="N38" s="152"/>
      <c r="O38" s="991" t="str">
        <f>VLOOKUP(VLOOKUP($C$3&amp;"-"&amp;$D38,Import!$C:$D,2,FALSE),Parameters!$C$18:$F$22,Summary!$C$7,FALSE)</f>
        <v xml:space="preserve">0 - Vastaus puuttuu </v>
      </c>
      <c r="P38" s="1017" t="str">
        <f>IF(VLOOKUP($C$3&amp;"-"&amp;$D38,Import!$C:$H,3,FALSE)=0,"",VLOOKUP($C$3&amp;"-"&amp;$D38,Import!$C:$H,3,FALSE))</f>
        <v/>
      </c>
      <c r="Q38" s="1017" t="str">
        <f>IF(VLOOKUP($C$3&amp;"-"&amp;$D38,Import!$C:$H,4,FALSE)=0,"",VLOOKUP($C$3&amp;"-"&amp;$D38,Import!$C:$H,4,FALSE))</f>
        <v/>
      </c>
      <c r="R38" s="1017" t="str">
        <f>IF(VLOOKUP($C$3&amp;"-"&amp;$D38,Import!$C:$H,5,FALSE)=0,"",VLOOKUP($C$3&amp;"-"&amp;$D38,Import!$C:$H,5,FALSE))</f>
        <v/>
      </c>
      <c r="S38" s="1018" t="str">
        <f>IF(VLOOKUP($C$3&amp;"-"&amp;$D38,Import!$C:$H,6,FALSE)=0,"",VLOOKUP($C$3&amp;"-"&amp;$D38,Import!$C:$H,6,FALSE))</f>
        <v/>
      </c>
      <c r="T38" s="157"/>
      <c r="U38" s="256"/>
    </row>
    <row r="39" spans="1:21" s="300" customFormat="1" ht="51" customHeight="1" x14ac:dyDescent="0.2">
      <c r="A39" s="309"/>
      <c r="B39" s="301"/>
      <c r="C39" s="1227"/>
      <c r="D39" s="407" t="s">
        <v>210</v>
      </c>
      <c r="E39" s="514" t="str">
        <f>IF(VLOOKUP(CONCATENATE($C$3,"-",$D39),Languages!$A:$D,1,TRUE)=CONCATENATE($C$3,"-",$D39),VLOOKUP(CONCATENATE($C$3,"-",$D39),Languages!$A:$D,Summary!$C$7,TRUE),NA())</f>
        <v>Hankittavien laitteiden, ohjelmistojen ja tietovarantojen hyväksyntätestaukseen kuuluu kyberturvallisuusvaatimusten testaus.</v>
      </c>
      <c r="F39" s="403">
        <f t="shared" si="0"/>
        <v>0</v>
      </c>
      <c r="G39" s="489"/>
      <c r="H39" s="484"/>
      <c r="I39" s="484"/>
      <c r="J39" s="484"/>
      <c r="K39" s="493"/>
      <c r="L39" s="157"/>
      <c r="M39" s="256"/>
      <c r="N39" s="152"/>
      <c r="O39" s="996" t="str">
        <f>VLOOKUP(VLOOKUP($C$3&amp;"-"&amp;$D39,Import!$C:$D,2,FALSE),Parameters!$C$18:$F$22,Summary!$C$7,FALSE)</f>
        <v xml:space="preserve">0 - Vastaus puuttuu </v>
      </c>
      <c r="P39" s="1024" t="str">
        <f>IF(VLOOKUP($C$3&amp;"-"&amp;$D39,Import!$C:$H,3,FALSE)=0,"",VLOOKUP($C$3&amp;"-"&amp;$D39,Import!$C:$H,3,FALSE))</f>
        <v/>
      </c>
      <c r="Q39" s="1024" t="str">
        <f>IF(VLOOKUP($C$3&amp;"-"&amp;$D39,Import!$C:$H,4,FALSE)=0,"",VLOOKUP($C$3&amp;"-"&amp;$D39,Import!$C:$H,4,FALSE))</f>
        <v/>
      </c>
      <c r="R39" s="1024" t="str">
        <f>IF(VLOOKUP($C$3&amp;"-"&amp;$D39,Import!$C:$H,5,FALSE)=0,"",VLOOKUP($C$3&amp;"-"&amp;$D39,Import!$C:$H,5,FALSE))</f>
        <v/>
      </c>
      <c r="S39" s="1025" t="str">
        <f>IF(VLOOKUP($C$3&amp;"-"&amp;$D39,Import!$C:$H,6,FALSE)=0,"",VLOOKUP($C$3&amp;"-"&amp;$D39,Import!$C:$H,6,FALSE))</f>
        <v/>
      </c>
      <c r="T39" s="157"/>
      <c r="U39" s="256"/>
    </row>
    <row r="40" spans="1:21" s="180" customFormat="1" ht="30" customHeight="1" x14ac:dyDescent="0.25">
      <c r="A40" s="169"/>
      <c r="B40" s="273"/>
      <c r="C40" s="173">
        <v>3</v>
      </c>
      <c r="D40" s="173" t="str">
        <f>IF(VLOOKUP(CONCATENATE($C$3,"-",C40),Languages!$A:$D,1,TRUE)=CONCATENATE($C$3,"-",C40),VLOOKUP(CONCATENATE($C$3,"-",C40),Languages!$A:$D,Summary!$C$7,TRUE),NA())</f>
        <v>Yleisiä hallintatoimia</v>
      </c>
      <c r="E40" s="173"/>
      <c r="F40" s="296"/>
      <c r="G40" s="1006"/>
      <c r="H40" s="1030"/>
      <c r="I40" s="1030"/>
      <c r="J40" s="1030"/>
      <c r="K40" s="1030"/>
      <c r="L40" s="157"/>
      <c r="M40" s="256"/>
      <c r="N40" s="152"/>
      <c r="O40" s="296"/>
      <c r="P40" s="297"/>
      <c r="Q40" s="297"/>
      <c r="R40" s="297"/>
      <c r="S40" s="297"/>
      <c r="T40" s="157"/>
      <c r="U40" s="256"/>
    </row>
    <row r="41" spans="1:21" s="289" customFormat="1" ht="19.95" customHeight="1" x14ac:dyDescent="0.2">
      <c r="A41" s="308"/>
      <c r="B41" s="283"/>
      <c r="C41" s="284" t="str">
        <f>IF(VLOOKUP("GEN-LEVEL",Languages!$A:$D,1,TRUE)="GEN-LEVEL",VLOOKUP("GEN-LEVEL",Languages!$A:$D,Summary!$C$7,TRUE),NA())</f>
        <v>Taso</v>
      </c>
      <c r="D41" s="284"/>
      <c r="E41" s="285" t="str">
        <f>IF(VLOOKUP("GEN-PRACTICE",Languages!$A:$D,1,TRUE)="GEN-PRACTICE",VLOOKUP("GEN-PRACTICE",Languages!$A:$D,Summary!$C$7,TRUE),NA())</f>
        <v>Käytäntö</v>
      </c>
      <c r="F41" s="286"/>
      <c r="G41" s="1003" t="str">
        <f>IF(VLOOKUP("GEN-ANSWER",Languages!$A:$D,1,TRUE)="GEN-ANSWER",VLOOKUP("GEN-ANSWER",Languages!$A:$D,Summary!$C$7,TRUE),NA())</f>
        <v>Vastaus</v>
      </c>
      <c r="H41" s="1004" t="str">
        <f>IF(VLOOKUP("KM112",Languages!$A:$D,1,TRUE)="KM112",VLOOKUP("KM112",Languages!$A:$D,Summary!$C$7,TRUE),NA())</f>
        <v>Kommentit</v>
      </c>
      <c r="I41" s="1004" t="str">
        <f>IF(VLOOKUP("KM113",Languages!$A:$D,1,TRUE)="KM113",VLOOKUP("KM113",Languages!$A:$D,Summary!$C$7,TRUE),NA())</f>
        <v>Sisäinen viittaus</v>
      </c>
      <c r="J41" s="1004" t="str">
        <f>IF(VLOOKUP("KM114",Languages!$A:$D,1,TRUE)="KM114",VLOOKUP("KM114",Languages!$A:$D,Summary!$C$7,TRUE),NA())</f>
        <v>Ulkoinen viittaus</v>
      </c>
      <c r="K41" s="1004" t="str">
        <f>IF(VLOOKUP("KM115",Languages!$A:$D,1,TRUE)="KM115",VLOOKUP("KM115",Languages!$A:$D,Summary!$C$7,TRUE),NA())</f>
        <v>Kehityskohde</v>
      </c>
      <c r="L41" s="287"/>
      <c r="M41" s="288"/>
      <c r="N41" s="283"/>
      <c r="O41" s="503" t="str">
        <f>IF(VLOOKUP("GEN-ANSWER",Languages!$A:$D,1,TRUE)="GEN-ANSWER",VLOOKUP("GEN-ANSWER",Languages!$A:$D,Summary!$C$7,TRUE),NA())</f>
        <v>Vastaus</v>
      </c>
      <c r="P41" s="503" t="str">
        <f>IF(VLOOKUP("KM112",Languages!$A:$D,1,TRUE)="KM112",VLOOKUP("KM112",Languages!$A:$D,Summary!$C$7,TRUE),NA())</f>
        <v>Kommentit</v>
      </c>
      <c r="Q41" s="503" t="str">
        <f>IF(VLOOKUP("KM113",Languages!$A:$D,1,TRUE)="KM113",VLOOKUP("KM113",Languages!$A:$D,Summary!$C$7,TRUE),NA())</f>
        <v>Sisäinen viittaus</v>
      </c>
      <c r="R41" s="503" t="str">
        <f>IF(VLOOKUP("KM114",Languages!$A:$D,1,TRUE)="KM114",VLOOKUP("KM114",Languages!$A:$D,Summary!$C$7,TRUE),NA())</f>
        <v>Ulkoinen viittaus</v>
      </c>
      <c r="S41" s="503" t="str">
        <f>IF(VLOOKUP("KM115",Languages!$A:$D,1,TRUE)="KM115",VLOOKUP("KM115",Languages!$A:$D,Summary!$C$7,TRUE),NA())</f>
        <v>Kehityskohde</v>
      </c>
      <c r="T41" s="287"/>
      <c r="U41" s="288"/>
    </row>
    <row r="42" spans="1:21" s="315" customFormat="1" ht="19.95" customHeight="1" x14ac:dyDescent="0.2">
      <c r="A42" s="288"/>
      <c r="B42" s="283"/>
      <c r="C42" s="497">
        <v>1</v>
      </c>
      <c r="D42" s="412"/>
      <c r="E42" s="413"/>
      <c r="F42" s="415"/>
      <c r="G42" s="1007"/>
      <c r="H42" s="1008"/>
      <c r="I42" s="1008"/>
      <c r="J42" s="1008"/>
      <c r="K42" s="1009"/>
      <c r="L42" s="157"/>
      <c r="M42" s="256"/>
      <c r="N42" s="152"/>
      <c r="O42" s="562"/>
      <c r="P42" s="414"/>
      <c r="Q42" s="414"/>
      <c r="R42" s="414"/>
      <c r="S42" s="416"/>
      <c r="T42" s="157"/>
      <c r="U42" s="256"/>
    </row>
    <row r="43" spans="1:21" s="300" customFormat="1" ht="34.950000000000003" customHeight="1" x14ac:dyDescent="0.2">
      <c r="A43" s="309"/>
      <c r="B43" s="1213"/>
      <c r="C43" s="1224">
        <v>2</v>
      </c>
      <c r="D43" s="406" t="s">
        <v>22</v>
      </c>
      <c r="E43" s="507" t="str">
        <f>IF(VLOOKUP(CONCATENATE($C$3,"-",$D43),Languages!$A:$D,1,TRUE)=CONCATENATE($C$3,"-",$D43),VLOOKUP(CONCATENATE($C$3,"-",$D43),Languages!$A:$D,Summary!$C$7,TRUE),NA())</f>
        <v>THIRDPARTY-osion toimintaa varten on määritetty dokumentoidut toimintatavat, joita noudatetaan ja päivitetään säännöllisesti.</v>
      </c>
      <c r="F43" s="396">
        <f t="shared" ref="F43:F48" si="1">IFERROR(INT(LEFT($G43,1)),0)</f>
        <v>0</v>
      </c>
      <c r="G43" s="485"/>
      <c r="H43" s="482"/>
      <c r="I43" s="482"/>
      <c r="J43" s="482"/>
      <c r="K43" s="491"/>
      <c r="L43" s="157"/>
      <c r="M43" s="256"/>
      <c r="N43" s="152"/>
      <c r="O43" s="988" t="str">
        <f>VLOOKUP(VLOOKUP($C$3&amp;"-"&amp;$D43,Import!$C:$D,2,FALSE),Parameters!$C$18:$F$22,Summary!$C$7,FALSE)</f>
        <v xml:space="preserve">0 - Vastaus puuttuu </v>
      </c>
      <c r="P43" s="1022" t="str">
        <f>IF(VLOOKUP($C$3&amp;"-"&amp;$D43,Import!$C:$H,3,FALSE)=0,"",VLOOKUP($C$3&amp;"-"&amp;$D43,Import!$C:$H,3,FALSE))</f>
        <v/>
      </c>
      <c r="Q43" s="1022" t="str">
        <f>IF(VLOOKUP($C$3&amp;"-"&amp;$D43,Import!$C:$H,4,FALSE)=0,"",VLOOKUP($C$3&amp;"-"&amp;$D43,Import!$C:$H,4,FALSE))</f>
        <v/>
      </c>
      <c r="R43" s="1022" t="str">
        <f>IF(VLOOKUP($C$3&amp;"-"&amp;$D43,Import!$C:$H,5,FALSE)=0,"",VLOOKUP($C$3&amp;"-"&amp;$D43,Import!$C:$H,5,FALSE))</f>
        <v/>
      </c>
      <c r="S43" s="1023" t="str">
        <f>IF(VLOOKUP($C$3&amp;"-"&amp;$D43,Import!$C:$H,6,FALSE)=0,"",VLOOKUP($C$3&amp;"-"&amp;$D43,Import!$C:$H,6,FALSE))</f>
        <v/>
      </c>
      <c r="T43" s="157"/>
      <c r="U43" s="256"/>
    </row>
    <row r="44" spans="1:21" s="300" customFormat="1" ht="34.950000000000003" customHeight="1" x14ac:dyDescent="0.2">
      <c r="A44" s="309"/>
      <c r="B44" s="1213"/>
      <c r="C44" s="1225"/>
      <c r="D44" s="407" t="s">
        <v>23</v>
      </c>
      <c r="E44" s="514" t="str">
        <f>IF(VLOOKUP(CONCATENATE($C$3,"-",$D44),Languages!$A:$D,1,TRUE)=CONCATENATE($C$3,"-",$D44),VLOOKUP(CONCATENATE($C$3,"-",$D44),Languages!$A:$D,Summary!$C$7,TRUE),NA())</f>
        <v>THIRDPARTY-osion toimintaa varten on tarjolla riittävät resurssit (henkilöstö, rahoitus ja työkalut).</v>
      </c>
      <c r="F44" s="403">
        <f t="shared" si="1"/>
        <v>0</v>
      </c>
      <c r="G44" s="489"/>
      <c r="H44" s="484"/>
      <c r="I44" s="484"/>
      <c r="J44" s="484"/>
      <c r="K44" s="493"/>
      <c r="L44" s="157"/>
      <c r="M44" s="256"/>
      <c r="N44" s="152"/>
      <c r="O44" s="996" t="str">
        <f>VLOOKUP(VLOOKUP($C$3&amp;"-"&amp;$D44,Import!$C:$D,2,FALSE),Parameters!$C$18:$F$22,Summary!$C$7,FALSE)</f>
        <v xml:space="preserve">0 - Vastaus puuttuu </v>
      </c>
      <c r="P44" s="1024" t="str">
        <f>IF(VLOOKUP($C$3&amp;"-"&amp;$D44,Import!$C:$H,3,FALSE)=0,"",VLOOKUP($C$3&amp;"-"&amp;$D44,Import!$C:$H,3,FALSE))</f>
        <v/>
      </c>
      <c r="Q44" s="1024" t="str">
        <f>IF(VLOOKUP($C$3&amp;"-"&amp;$D44,Import!$C:$H,4,FALSE)=0,"",VLOOKUP($C$3&amp;"-"&amp;$D44,Import!$C:$H,4,FALSE))</f>
        <v/>
      </c>
      <c r="R44" s="1024" t="str">
        <f>IF(VLOOKUP($C$3&amp;"-"&amp;$D44,Import!$C:$H,5,FALSE)=0,"",VLOOKUP($C$3&amp;"-"&amp;$D44,Import!$C:$H,5,FALSE))</f>
        <v/>
      </c>
      <c r="S44" s="1025" t="str">
        <f>IF(VLOOKUP($C$3&amp;"-"&amp;$D44,Import!$C:$H,6,FALSE)=0,"",VLOOKUP($C$3&amp;"-"&amp;$D44,Import!$C:$H,6,FALSE))</f>
        <v/>
      </c>
      <c r="T44" s="157"/>
      <c r="U44" s="256"/>
    </row>
    <row r="45" spans="1:21" s="300" customFormat="1" ht="47.4" customHeight="1" x14ac:dyDescent="0.2">
      <c r="A45" s="309"/>
      <c r="B45" s="1213"/>
      <c r="C45" s="1226">
        <v>3</v>
      </c>
      <c r="D45" s="406" t="s">
        <v>24</v>
      </c>
      <c r="E45" s="507" t="str">
        <f>IF(VLOOKUP(CONCATENATE($C$3,"-",$D45),Languages!$A:$D,1,TRUE)=CONCATENATE($C$3,"-",$D45),VLOOKUP(CONCATENATE($C$3,"-",$D45),Languages!$A:$D,Summary!$C$7,TRUE),NA())</f>
        <v>THIRDPARTY-osion toimintaa ohjataan vaatimuksilla, jotka on asetettu organisaation johtotason politiikassa (tai vastaavassa ohjeistuksessa).</v>
      </c>
      <c r="F45" s="396">
        <f t="shared" si="1"/>
        <v>0</v>
      </c>
      <c r="G45" s="485"/>
      <c r="H45" s="482"/>
      <c r="I45" s="482"/>
      <c r="J45" s="482"/>
      <c r="K45" s="491"/>
      <c r="L45" s="157"/>
      <c r="M45" s="256"/>
      <c r="N45" s="152"/>
      <c r="O45" s="988" t="str">
        <f>VLOOKUP(VLOOKUP($C$3&amp;"-"&amp;$D45,Import!$C:$D,2,FALSE),Parameters!$C$18:$F$22,Summary!$C$7,FALSE)</f>
        <v xml:space="preserve">0 - Vastaus puuttuu </v>
      </c>
      <c r="P45" s="1022" t="str">
        <f>IF(VLOOKUP($C$3&amp;"-"&amp;$D45,Import!$C:$H,3,FALSE)=0,"",VLOOKUP($C$3&amp;"-"&amp;$D45,Import!$C:$H,3,FALSE))</f>
        <v/>
      </c>
      <c r="Q45" s="1022" t="str">
        <f>IF(VLOOKUP($C$3&amp;"-"&amp;$D45,Import!$C:$H,4,FALSE)=0,"",VLOOKUP($C$3&amp;"-"&amp;$D45,Import!$C:$H,4,FALSE))</f>
        <v/>
      </c>
      <c r="R45" s="1022" t="str">
        <f>IF(VLOOKUP($C$3&amp;"-"&amp;$D45,Import!$C:$H,5,FALSE)=0,"",VLOOKUP($C$3&amp;"-"&amp;$D45,Import!$C:$H,5,FALSE))</f>
        <v/>
      </c>
      <c r="S45" s="1023" t="str">
        <f>IF(VLOOKUP($C$3&amp;"-"&amp;$D45,Import!$C:$H,6,FALSE)=0,"",VLOOKUP($C$3&amp;"-"&amp;$D45,Import!$C:$H,6,FALSE))</f>
        <v/>
      </c>
      <c r="T45" s="157"/>
      <c r="U45" s="256"/>
    </row>
    <row r="46" spans="1:21" s="300" customFormat="1" ht="34.950000000000003" customHeight="1" x14ac:dyDescent="0.2">
      <c r="A46" s="309"/>
      <c r="B46" s="1213"/>
      <c r="C46" s="1228"/>
      <c r="D46" s="298" t="s">
        <v>25</v>
      </c>
      <c r="E46" s="508" t="str">
        <f>IF(VLOOKUP(CONCATENATE($C$3,"-",$D46),Languages!$A:$D,1,TRUE)=CONCATENATE($C$3,"-",$D46),VLOOKUP(CONCATENATE($C$3,"-",$D46),Languages!$A:$D,Summary!$C$7,TRUE),NA())</f>
        <v>THIRDPARTY-osion toimintaa suorittavilla työntekijöillä on riittävät tiedot ja taidot tehtäviensä suorittamiseen.</v>
      </c>
      <c r="F46" s="291">
        <f t="shared" si="1"/>
        <v>0</v>
      </c>
      <c r="G46" s="311"/>
      <c r="H46" s="483"/>
      <c r="I46" s="483"/>
      <c r="J46" s="483"/>
      <c r="K46" s="492"/>
      <c r="L46" s="157"/>
      <c r="M46" s="256"/>
      <c r="N46" s="152"/>
      <c r="O46" s="991" t="str">
        <f>VLOOKUP(VLOOKUP($C$3&amp;"-"&amp;$D46,Import!$C:$D,2,FALSE),Parameters!$C$18:$F$22,Summary!$C$7,FALSE)</f>
        <v xml:space="preserve">0 - Vastaus puuttuu </v>
      </c>
      <c r="P46" s="1017" t="str">
        <f>IF(VLOOKUP($C$3&amp;"-"&amp;$D46,Import!$C:$H,3,FALSE)=0,"",VLOOKUP($C$3&amp;"-"&amp;$D46,Import!$C:$H,3,FALSE))</f>
        <v/>
      </c>
      <c r="Q46" s="1017" t="str">
        <f>IF(VLOOKUP($C$3&amp;"-"&amp;$D46,Import!$C:$H,4,FALSE)=0,"",VLOOKUP($C$3&amp;"-"&amp;$D46,Import!$C:$H,4,FALSE))</f>
        <v/>
      </c>
      <c r="R46" s="1017" t="str">
        <f>IF(VLOOKUP($C$3&amp;"-"&amp;$D46,Import!$C:$H,5,FALSE)=0,"",VLOOKUP($C$3&amp;"-"&amp;$D46,Import!$C:$H,5,FALSE))</f>
        <v/>
      </c>
      <c r="S46" s="1018" t="str">
        <f>IF(VLOOKUP($C$3&amp;"-"&amp;$D46,Import!$C:$H,6,FALSE)=0,"",VLOOKUP($C$3&amp;"-"&amp;$D46,Import!$C:$H,6,FALSE))</f>
        <v/>
      </c>
      <c r="T46" s="157"/>
      <c r="U46" s="256"/>
    </row>
    <row r="47" spans="1:21" s="300" customFormat="1" ht="47.4" customHeight="1" x14ac:dyDescent="0.2">
      <c r="A47" s="309"/>
      <c r="B47" s="1213"/>
      <c r="C47" s="1228"/>
      <c r="D47" s="298" t="s">
        <v>26</v>
      </c>
      <c r="E47" s="508" t="str">
        <f>IF(VLOOKUP(CONCATENATE($C$3,"-",$D47),Languages!$A:$D,1,TRUE)=CONCATENATE($C$3,"-",$D47),VLOOKUP(CONCATENATE($C$3,"-",$D47),Languages!$A:$D,Summary!$C$7,TRUE),NA())</f>
        <v>THIRDPARTY-osion toiminnan suorittamiseen tarvittavat vastuut, tilivelvollisuudet ja valtuutukset on jalkautettu soveltuville työntekijöille.</v>
      </c>
      <c r="F47" s="291">
        <f t="shared" si="1"/>
        <v>0</v>
      </c>
      <c r="G47" s="311"/>
      <c r="H47" s="483"/>
      <c r="I47" s="483"/>
      <c r="J47" s="483"/>
      <c r="K47" s="492"/>
      <c r="L47" s="157"/>
      <c r="M47" s="256"/>
      <c r="N47" s="152"/>
      <c r="O47" s="991" t="str">
        <f>VLOOKUP(VLOOKUP($C$3&amp;"-"&amp;$D47,Import!$C:$D,2,FALSE),Parameters!$C$18:$F$22,Summary!$C$7,FALSE)</f>
        <v xml:space="preserve">0 - Vastaus puuttuu </v>
      </c>
      <c r="P47" s="1017" t="str">
        <f>IF(VLOOKUP($C$3&amp;"-"&amp;$D47,Import!$C:$H,3,FALSE)=0,"",VLOOKUP($C$3&amp;"-"&amp;$D47,Import!$C:$H,3,FALSE))</f>
        <v/>
      </c>
      <c r="Q47" s="1017" t="str">
        <f>IF(VLOOKUP($C$3&amp;"-"&amp;$D47,Import!$C:$H,4,FALSE)=0,"",VLOOKUP($C$3&amp;"-"&amp;$D47,Import!$C:$H,4,FALSE))</f>
        <v/>
      </c>
      <c r="R47" s="1017" t="str">
        <f>IF(VLOOKUP($C$3&amp;"-"&amp;$D47,Import!$C:$H,5,FALSE)=0,"",VLOOKUP($C$3&amp;"-"&amp;$D47,Import!$C:$H,5,FALSE))</f>
        <v/>
      </c>
      <c r="S47" s="1018" t="str">
        <f>IF(VLOOKUP($C$3&amp;"-"&amp;$D47,Import!$C:$H,6,FALSE)=0,"",VLOOKUP($C$3&amp;"-"&amp;$D47,Import!$C:$H,6,FALSE))</f>
        <v/>
      </c>
      <c r="T47" s="157"/>
      <c r="U47" s="256"/>
    </row>
    <row r="48" spans="1:21" s="300" customFormat="1" ht="34.950000000000003" customHeight="1" x14ac:dyDescent="0.2">
      <c r="A48" s="309"/>
      <c r="B48" s="1213"/>
      <c r="C48" s="1227"/>
      <c r="D48" s="407" t="s">
        <v>27</v>
      </c>
      <c r="E48" s="514" t="str">
        <f>IF(VLOOKUP(CONCATENATE($C$3,"-",$D48),Languages!$A:$D,1,TRUE)=CONCATENATE($C$3,"-",$D48),VLOOKUP(CONCATENATE($C$3,"-",$D48),Languages!$A:$D,Summary!$C$7,TRUE),NA())</f>
        <v>THIRDPARTY-osion toiminnan vaikuttavuutta arvioidaan ja seurataan.</v>
      </c>
      <c r="F48" s="403">
        <f t="shared" si="1"/>
        <v>0</v>
      </c>
      <c r="G48" s="489"/>
      <c r="H48" s="484"/>
      <c r="I48" s="484"/>
      <c r="J48" s="484"/>
      <c r="K48" s="493"/>
      <c r="L48" s="157"/>
      <c r="M48" s="256"/>
      <c r="N48" s="152"/>
      <c r="O48" s="996" t="str">
        <f>VLOOKUP(VLOOKUP($C$3&amp;"-"&amp;$D48,Import!$C:$D,2,FALSE),Parameters!$C$18:$F$22,Summary!$C$7,FALSE)</f>
        <v xml:space="preserve">0 - Vastaus puuttuu </v>
      </c>
      <c r="P48" s="1024" t="str">
        <f>IF(VLOOKUP($C$3&amp;"-"&amp;$D48,Import!$C:$H,3,FALSE)=0,"",VLOOKUP($C$3&amp;"-"&amp;$D48,Import!$C:$H,3,FALSE))</f>
        <v/>
      </c>
      <c r="Q48" s="1024" t="str">
        <f>IF(VLOOKUP($C$3&amp;"-"&amp;$D48,Import!$C:$H,4,FALSE)=0,"",VLOOKUP($C$3&amp;"-"&amp;$D48,Import!$C:$H,4,FALSE))</f>
        <v/>
      </c>
      <c r="R48" s="1024" t="str">
        <f>IF(VLOOKUP($C$3&amp;"-"&amp;$D48,Import!$C:$H,5,FALSE)=0,"",VLOOKUP($C$3&amp;"-"&amp;$D48,Import!$C:$H,5,FALSE))</f>
        <v/>
      </c>
      <c r="S48" s="1025" t="str">
        <f>IF(VLOOKUP($C$3&amp;"-"&amp;$D48,Import!$C:$H,6,FALSE)=0,"",VLOOKUP($C$3&amp;"-"&amp;$D48,Import!$C:$H,6,FALSE))</f>
        <v/>
      </c>
      <c r="T48" s="157"/>
      <c r="U48" s="256"/>
    </row>
    <row r="49" spans="1:21" x14ac:dyDescent="0.2">
      <c r="A49" s="184"/>
      <c r="B49" s="333"/>
      <c r="C49" s="334"/>
      <c r="D49" s="335"/>
      <c r="E49" s="336"/>
      <c r="F49" s="337"/>
      <c r="G49" s="338"/>
      <c r="H49" s="339"/>
      <c r="I49" s="339"/>
      <c r="J49" s="339"/>
      <c r="K49" s="339"/>
      <c r="L49" s="157"/>
      <c r="M49" s="256"/>
      <c r="N49" s="152"/>
      <c r="O49" s="338"/>
      <c r="P49" s="339"/>
      <c r="Q49" s="339"/>
      <c r="R49" s="339"/>
      <c r="S49" s="339"/>
      <c r="T49" s="157"/>
      <c r="U49" s="256"/>
    </row>
    <row r="50" spans="1:21" x14ac:dyDescent="0.25">
      <c r="A50" s="184"/>
      <c r="B50" s="184"/>
      <c r="C50" s="184"/>
      <c r="D50" s="184"/>
      <c r="E50" s="184"/>
      <c r="F50" s="340"/>
      <c r="G50" s="184"/>
      <c r="H50" s="184"/>
      <c r="I50" s="184"/>
      <c r="J50" s="184"/>
      <c r="K50" s="184"/>
      <c r="L50" s="516"/>
      <c r="M50" s="313"/>
      <c r="N50" s="516"/>
      <c r="O50" s="184"/>
      <c r="P50" s="184"/>
      <c r="Q50" s="184"/>
      <c r="R50" s="184"/>
      <c r="S50" s="184"/>
      <c r="T50" s="516"/>
      <c r="U50" s="313"/>
    </row>
    <row r="51" spans="1:21" x14ac:dyDescent="0.25">
      <c r="M51" s="343"/>
      <c r="U51" s="343"/>
    </row>
    <row r="52" spans="1:21" x14ac:dyDescent="0.25">
      <c r="M52" s="343"/>
      <c r="U52" s="343"/>
    </row>
    <row r="53" spans="1:21" x14ac:dyDescent="0.25">
      <c r="M53" s="343"/>
      <c r="U53" s="343"/>
    </row>
    <row r="54" spans="1:21" x14ac:dyDescent="0.25">
      <c r="M54" s="343"/>
      <c r="U54" s="343"/>
    </row>
    <row r="55" spans="1:21" x14ac:dyDescent="0.25">
      <c r="M55" s="343"/>
      <c r="U55" s="343"/>
    </row>
    <row r="56" spans="1:21" x14ac:dyDescent="0.25">
      <c r="M56" s="343"/>
      <c r="U56" s="343"/>
    </row>
  </sheetData>
  <sheetProtection sheet="1" formatCells="0" formatColumns="0" formatRows="0"/>
  <mergeCells count="19">
    <mergeCell ref="C22:C23"/>
    <mergeCell ref="C24:C25"/>
    <mergeCell ref="C15:K15"/>
    <mergeCell ref="C17:K17"/>
    <mergeCell ref="C6:K6"/>
    <mergeCell ref="C13:K13"/>
    <mergeCell ref="O3:S17"/>
    <mergeCell ref="B47:B48"/>
    <mergeCell ref="B43:B46"/>
    <mergeCell ref="C43:C44"/>
    <mergeCell ref="C45:C48"/>
    <mergeCell ref="C36:C39"/>
    <mergeCell ref="C31:C35"/>
    <mergeCell ref="B22:B23"/>
    <mergeCell ref="B24:B26"/>
    <mergeCell ref="B29:B30"/>
    <mergeCell ref="I8:J8"/>
    <mergeCell ref="I10:J11"/>
    <mergeCell ref="C29:C30"/>
  </mergeCells>
  <conditionalFormatting sqref="F4:F5 F7:F12 F22:F27 F29:F40 F42:F1048576">
    <cfRule type="containsText" dxfId="170" priority="21" operator="containsText" text="0">
      <formula>NOT(ISERROR(SEARCH("0",F4)))</formula>
    </cfRule>
  </conditionalFormatting>
  <conditionalFormatting sqref="F1 F3">
    <cfRule type="containsText" dxfId="169" priority="14" operator="containsText" text="0">
      <formula>NOT(ISERROR(SEARCH("0",F1)))</formula>
    </cfRule>
  </conditionalFormatting>
  <conditionalFormatting sqref="F2">
    <cfRule type="containsText" dxfId="168" priority="13" operator="containsText" text="0">
      <formula>NOT(ISERROR(SEARCH("0",F2)))</formula>
    </cfRule>
  </conditionalFormatting>
  <conditionalFormatting sqref="F41">
    <cfRule type="containsText" dxfId="167" priority="11" operator="containsText" text="0">
      <formula>NOT(ISERROR(SEARCH("0",F41)))</formula>
    </cfRule>
  </conditionalFormatting>
  <conditionalFormatting sqref="F28">
    <cfRule type="containsText" dxfId="166" priority="9" operator="containsText" text="0">
      <formula>NOT(ISERROR(SEARCH("0",F28)))</formula>
    </cfRule>
  </conditionalFormatting>
  <conditionalFormatting sqref="F21">
    <cfRule type="containsText" dxfId="165" priority="7" operator="containsText" text="0">
      <formula>NOT(ISERROR(SEARCH("0",F21)))</formula>
    </cfRule>
  </conditionalFormatting>
  <conditionalFormatting sqref="F14">
    <cfRule type="containsText" dxfId="164" priority="5" operator="containsText" text="0">
      <formula>NOT(ISERROR(SEARCH("0",F14)))</formula>
    </cfRule>
  </conditionalFormatting>
  <conditionalFormatting sqref="F16">
    <cfRule type="containsText" dxfId="163" priority="3" operator="containsText" text="0">
      <formula>NOT(ISERROR(SEARCH("0",F16)))</formula>
    </cfRule>
  </conditionalFormatting>
  <conditionalFormatting sqref="F20">
    <cfRule type="containsText" dxfId="162" priority="1" operator="containsText" text="0">
      <formula>NOT(ISERROR(SEARCH("0",F20)))</formula>
    </cfRule>
  </conditionalFormatting>
  <pageMargins left="0.7" right="0.7" top="0.75" bottom="0.75" header="0.3" footer="0.3"/>
  <pageSetup paperSize="9" scale="42" orientation="portrait" r:id="rId1"/>
  <rowBreaks count="1" manualBreakCount="1">
    <brk id="39" max="16383" man="1"/>
  </rowBreaks>
  <colBreaks count="1" manualBreakCount="1">
    <brk id="13" max="1048575" man="1"/>
  </colBreaks>
  <ignoredErrors>
    <ignoredError sqref="O26 O39 O48 O22 O23 O24 O25 O29 O30 O31 O32 O33 O34 O35 O36 O37 O38 O43 O44 O45 O46 O47 P22:S26 P29:S39 P43:S48" unlockedFormula="1"/>
  </ignoredErrors>
  <drawing r:id="rId2"/>
  <extLst>
    <ext xmlns:x14="http://schemas.microsoft.com/office/spreadsheetml/2009/9/main" uri="{78C0D931-6437-407d-A8EE-F0AAD7539E65}">
      <x14:conditionalFormattings>
        <x14:conditionalFormatting xmlns:xm="http://schemas.microsoft.com/office/excel/2006/main">
          <x14:cfRule type="iconSet" priority="22" id="{3085B42A-23B5-4DDA-80A7-EFE3C26BDEF6}">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F42:F1048576 F22:F27 F4:F5 F7:F12 F29:F40</xm:sqref>
        </x14:conditionalFormatting>
        <x14:conditionalFormatting xmlns:xm="http://schemas.microsoft.com/office/excel/2006/main">
          <x14:cfRule type="iconSet" priority="15" id="{005529F5-4889-4CCB-9DF4-DA9E252167A3}">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F3 F1</xm:sqref>
        </x14:conditionalFormatting>
        <x14:conditionalFormatting xmlns:xm="http://schemas.microsoft.com/office/excel/2006/main">
          <x14:cfRule type="iconSet" priority="16" id="{58F93D1B-D2BC-4861-9F10-8C1E86534119}">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F2</xm:sqref>
        </x14:conditionalFormatting>
        <x14:conditionalFormatting xmlns:xm="http://schemas.microsoft.com/office/excel/2006/main">
          <x14:cfRule type="iconSet" priority="12" id="{DD1CEF44-B8BA-4570-A527-EDA5C17288D7}">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F41</xm:sqref>
        </x14:conditionalFormatting>
        <x14:conditionalFormatting xmlns:xm="http://schemas.microsoft.com/office/excel/2006/main">
          <x14:cfRule type="iconSet" priority="10" id="{62FAE90F-EBE5-4F91-86AF-A976AEBD9EBA}">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F28</xm:sqref>
        </x14:conditionalFormatting>
        <x14:conditionalFormatting xmlns:xm="http://schemas.microsoft.com/office/excel/2006/main">
          <x14:cfRule type="iconSet" priority="8" id="{BB24EED3-B83C-4109-80EE-132FF6766633}">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F21</xm:sqref>
        </x14:conditionalFormatting>
        <x14:conditionalFormatting xmlns:xm="http://schemas.microsoft.com/office/excel/2006/main">
          <x14:cfRule type="iconSet" priority="6" id="{6AF32D53-ABC0-481E-BE16-681023B77A59}">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F14</xm:sqref>
        </x14:conditionalFormatting>
        <x14:conditionalFormatting xmlns:xm="http://schemas.microsoft.com/office/excel/2006/main">
          <x14:cfRule type="iconSet" priority="4" id="{7E9C61F3-45ED-4BBA-9FBE-757736918E87}">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F16</xm:sqref>
        </x14:conditionalFormatting>
        <x14:conditionalFormatting xmlns:xm="http://schemas.microsoft.com/office/excel/2006/main">
          <x14:cfRule type="iconSet" priority="2" id="{5665F9CA-876F-45E3-B3EB-80864C9FA6D8}">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F20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Parameters!$B$18:$B$22</xm:f>
          </x14:formula1>
          <xm:sqref>G22:G26 G29:G39 G43:G48</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2" tint="0.79998168889431442"/>
  </sheetPr>
  <dimension ref="A1:U67"/>
  <sheetViews>
    <sheetView showGridLines="0" zoomScale="80" zoomScaleNormal="80" workbookViewId="0"/>
  </sheetViews>
  <sheetFormatPr defaultColWidth="9.26953125" defaultRowHeight="13.8" x14ac:dyDescent="0.25"/>
  <cols>
    <col min="1" max="2" width="1.6328125" style="187" customWidth="1"/>
    <col min="3" max="3" width="2.6328125" style="187" customWidth="1"/>
    <col min="4" max="4" width="3.1796875" style="341" customWidth="1"/>
    <col min="5" max="5" width="55.6328125" style="187" customWidth="1"/>
    <col min="6" max="6" width="2.6328125" style="327" customWidth="1"/>
    <col min="7" max="7" width="14.6328125" style="314" customWidth="1"/>
    <col min="8" max="8" width="30.6328125" customWidth="1"/>
    <col min="9" max="9" width="20.6328125" customWidth="1"/>
    <col min="10" max="10" width="20.6328125" style="342" customWidth="1"/>
    <col min="11" max="11" width="10.6328125" style="187" customWidth="1"/>
    <col min="12" max="12" width="1.6328125" style="343" customWidth="1"/>
    <col min="13" max="13" width="1.6328125" style="344" customWidth="1"/>
    <col min="14" max="14" width="1.6328125" style="343" customWidth="1"/>
    <col min="15" max="15" width="14.6328125" style="314" customWidth="1"/>
    <col min="16" max="16" width="30.6328125" customWidth="1"/>
    <col min="17" max="17" width="20.6328125" customWidth="1"/>
    <col min="18" max="18" width="20.6328125" style="342" customWidth="1"/>
    <col min="19" max="19" width="10.6328125" style="187" customWidth="1"/>
    <col min="20" max="20" width="1.6328125" style="343" customWidth="1"/>
    <col min="21" max="21" width="1.6328125" style="344" customWidth="1"/>
    <col min="22" max="16384" width="9.26953125" style="187"/>
  </cols>
  <sheetData>
    <row r="1" spans="1:21" s="143" customFormat="1" ht="11.4" x14ac:dyDescent="0.25">
      <c r="A1" s="138"/>
      <c r="B1" s="138"/>
      <c r="C1" s="138"/>
      <c r="D1" s="138"/>
      <c r="E1" s="138"/>
      <c r="F1" s="255"/>
      <c r="G1" s="254"/>
      <c r="H1" s="254"/>
      <c r="I1" s="254"/>
      <c r="J1" s="254"/>
      <c r="K1" s="254"/>
      <c r="L1" s="138"/>
      <c r="M1" s="138"/>
      <c r="N1" s="138"/>
      <c r="O1" s="254"/>
      <c r="P1" s="254"/>
      <c r="Q1" s="254"/>
      <c r="R1" s="254"/>
      <c r="S1" s="254"/>
      <c r="T1" s="138"/>
      <c r="U1" s="138"/>
    </row>
    <row r="2" spans="1:21" s="261" customFormat="1" ht="15" customHeight="1" x14ac:dyDescent="0.2">
      <c r="A2" s="256"/>
      <c r="B2" s="145"/>
      <c r="C2" s="257"/>
      <c r="D2" s="148"/>
      <c r="E2" s="258"/>
      <c r="F2" s="149"/>
      <c r="G2" s="259"/>
      <c r="H2" s="259"/>
      <c r="I2" s="259"/>
      <c r="J2" s="259"/>
      <c r="K2" s="259"/>
      <c r="L2" s="150"/>
      <c r="M2" s="256"/>
      <c r="N2" s="504"/>
      <c r="O2" s="890"/>
      <c r="P2" s="890"/>
      <c r="Q2" s="890"/>
      <c r="R2" s="890"/>
      <c r="S2" s="890"/>
      <c r="T2" s="891"/>
      <c r="U2" s="256"/>
    </row>
    <row r="3" spans="1:21" s="261" customFormat="1" ht="25.05" customHeight="1" x14ac:dyDescent="0.25">
      <c r="A3" s="256"/>
      <c r="B3" s="152"/>
      <c r="C3" s="153" t="s">
        <v>77</v>
      </c>
      <c r="D3" s="154"/>
      <c r="E3" s="436"/>
      <c r="F3" s="155"/>
      <c r="H3" s="272" t="str">
        <f>IF(VLOOKUP("GEN-TOTAL",Languages!$A:$D,1,TRUE)="GEN-TOTAL",VLOOKUP("GEN-TOTAL",Languages!$A:$D,Summary!$C$7,TRUE),NA())</f>
        <v>Kokonaisarvio</v>
      </c>
      <c r="I3" s="156" t="str">
        <f>IF(VLOOKUP("GEN-SEC",Languages!$A:$D,1,TRUE)="GEN-SEC",VLOOKUP("GEN-SEC",Languages!$A:$D,Summary!$C$7,TRUE),NA())</f>
        <v>Tiedon luokittelu</v>
      </c>
      <c r="J3" s="437"/>
      <c r="L3" s="157"/>
      <c r="M3" s="256"/>
      <c r="N3" s="892"/>
      <c r="O3" s="1252" t="str">
        <f>VLOOKUP($C$3,Infoimport!$B$4:$C$14,2,FALSE)</f>
        <v>WORKFORCE, tiedot Infoimport-välilehdeltä</v>
      </c>
      <c r="P3" s="1252"/>
      <c r="Q3" s="1252"/>
      <c r="R3" s="1252"/>
      <c r="S3" s="1252"/>
      <c r="T3" s="893"/>
      <c r="U3" s="256"/>
    </row>
    <row r="4" spans="1:21" s="322" customFormat="1" ht="25.05" customHeight="1" x14ac:dyDescent="0.3">
      <c r="A4" s="320"/>
      <c r="B4" s="321"/>
      <c r="C4" s="158" t="str">
        <f>IF(VLOOKUP($C$3,Languages!$A:$D,1,TRUE)=$C$3,VLOOKUP($C$3,Languages!$A:$D,Summary!$C$7,TRUE),NA())</f>
        <v>Henkilöstön johtaminen ja kehittäminen (WORKFORCE)</v>
      </c>
      <c r="D4" s="262"/>
      <c r="E4" s="263"/>
      <c r="F4" s="324"/>
      <c r="G4" s="323"/>
      <c r="H4" s="265" t="str">
        <f ca="1">VLOOKUP(VLOOKUP(CONCATENATE($C$3),Data!$K:$O,5,FALSE),Parameters!$C$7:$F$10,Summary!$C$7,FALSE)</f>
        <v>Kypsyystaso 0</v>
      </c>
      <c r="I4" s="781"/>
      <c r="J4" s="266"/>
      <c r="K4" s="261"/>
      <c r="L4" s="157"/>
      <c r="M4" s="256"/>
      <c r="N4" s="892"/>
      <c r="O4" s="1252"/>
      <c r="P4" s="1252"/>
      <c r="Q4" s="1252"/>
      <c r="R4" s="1252"/>
      <c r="S4" s="1252"/>
      <c r="T4" s="893"/>
      <c r="U4" s="256"/>
    </row>
    <row r="5" spans="1:21" ht="10.050000000000001" customHeight="1" x14ac:dyDescent="0.25">
      <c r="A5" s="181"/>
      <c r="B5" s="312"/>
      <c r="C5" s="325"/>
      <c r="D5" s="326"/>
      <c r="E5" s="326"/>
      <c r="F5" s="265"/>
      <c r="G5" s="265"/>
      <c r="I5" s="266"/>
      <c r="J5" s="266"/>
      <c r="K5" s="261"/>
      <c r="L5" s="157"/>
      <c r="M5" s="256"/>
      <c r="N5" s="892"/>
      <c r="O5" s="1252"/>
      <c r="P5" s="1252"/>
      <c r="Q5" s="1252"/>
      <c r="R5" s="1252"/>
      <c r="S5" s="1252"/>
      <c r="T5" s="893"/>
      <c r="U5" s="256"/>
    </row>
    <row r="6" spans="1:21" ht="94.95" customHeight="1" x14ac:dyDescent="0.2">
      <c r="A6" s="181"/>
      <c r="B6" s="312"/>
      <c r="C6" s="1216" t="str">
        <f>IF(VLOOKUP(CONCATENATE(C3,"-0"),Languages!$A:$D,1,TRUE)=CONCATENATE(C3,"-0"),VLOOKUP(CONCATENATE(C3,"-0"),Languages!$A:$D,Summary!$C$7,TRUE),NA())</f>
        <v>Henkilöstön hallinnan osiossa arvioidaan organisaation kykyä kehittää ja ylläpitää henkilöstön kyberturvallisuusosaamista ja -valmiutta. Organisaation tulee määritellä ja ylläpitää suunnitelmia, prosesseja, teknologiaa ja kontrolleja organisaation kyberturvallisuuskulttuurin luomiseksi ja sopivan ja osaavan henkilöstön takaamiseksi, suhteessa sekä suojattaviin kohteisiin kohdistuviin riskeihin, että organisaation asettamiin tavoitteisiin.</v>
      </c>
      <c r="D6" s="1216"/>
      <c r="E6" s="1216"/>
      <c r="F6" s="1216"/>
      <c r="G6" s="1216"/>
      <c r="H6" s="1216"/>
      <c r="I6" s="1216"/>
      <c r="J6" s="1216"/>
      <c r="K6" s="1216"/>
      <c r="L6" s="157"/>
      <c r="M6" s="256"/>
      <c r="N6" s="892"/>
      <c r="O6" s="1252"/>
      <c r="P6" s="1252"/>
      <c r="Q6" s="1252"/>
      <c r="R6" s="1252"/>
      <c r="S6" s="1252"/>
      <c r="T6" s="893"/>
      <c r="U6" s="256"/>
    </row>
    <row r="7" spans="1:21" ht="14.4" customHeight="1" x14ac:dyDescent="0.2">
      <c r="A7" s="181"/>
      <c r="B7" s="312"/>
      <c r="C7" s="268">
        <v>1</v>
      </c>
      <c r="D7" s="269" t="s">
        <v>1</v>
      </c>
      <c r="E7" s="270" t="str">
        <f>IF(VLOOKUP(CONCATENATE($C$3,"-",C7),Languages!$A:$D,1,TRUE)=CONCATENATE($C$3,"-",C7),VLOOKUP(CONCATENATE($C$3,"-",C7),Languages!$A:$D,Summary!$C$7,TRUE),NA())</f>
        <v>Kyberturvallisuuden vastuiden jakaminen</v>
      </c>
      <c r="H7" s="271" t="str">
        <f ca="1">VLOOKUP(VLOOKUP(CONCATENATE($C$3,"-",$C7),Data!$K:$O,5,FALSE),Parameters!$C$7:$F$10,Summary!$C$7,FALSE)</f>
        <v>Kypsyystaso 0</v>
      </c>
      <c r="I7" s="505" t="str">
        <f>IF(VLOOKUP("KM110",Languages!$A:$D,1,TRUE)="KM110",VLOOKUP("KM110",Languages!$A:$D,Summary!$C$7,TRUE),NA())</f>
        <v>Päivämäärä</v>
      </c>
      <c r="J7" s="479"/>
      <c r="K7" s="261"/>
      <c r="L7" s="157"/>
      <c r="M7" s="256"/>
      <c r="N7" s="892"/>
      <c r="O7" s="1252"/>
      <c r="P7" s="1252"/>
      <c r="Q7" s="1252"/>
      <c r="R7" s="1252"/>
      <c r="S7" s="1252"/>
      <c r="T7" s="893"/>
      <c r="U7" s="256"/>
    </row>
    <row r="8" spans="1:21" ht="14.4" customHeight="1" x14ac:dyDescent="0.25">
      <c r="A8" s="181"/>
      <c r="B8" s="312"/>
      <c r="C8" s="268">
        <v>2</v>
      </c>
      <c r="D8" s="269" t="s">
        <v>1</v>
      </c>
      <c r="E8" s="270" t="str">
        <f>IF(VLOOKUP(CONCATENATE($C$3,"-",C8),Languages!$A:$D,1,TRUE)=CONCATENATE($C$3,"-",C8),VLOOKUP(CONCATENATE($C$3,"-",C8),Languages!$A:$D,Summary!$C$7,TRUE),NA())</f>
        <v>Kyberturvallisuuteen keskittyvän henkilöstön kehittäminen</v>
      </c>
      <c r="F8" s="328"/>
      <c r="H8" s="271" t="str">
        <f ca="1">VLOOKUP(VLOOKUP(CONCATENATE($C$3,"-",$C8),Data!$K:$O,5,FALSE),Parameters!$C$7:$F$10,Summary!$C$7,FALSE)</f>
        <v>Kypsyystaso 0</v>
      </c>
      <c r="I8" s="1217"/>
      <c r="J8" s="1218"/>
      <c r="K8" s="261"/>
      <c r="L8" s="157"/>
      <c r="M8" s="256"/>
      <c r="N8" s="892"/>
      <c r="O8" s="1252"/>
      <c r="P8" s="1252"/>
      <c r="Q8" s="1252"/>
      <c r="R8" s="1252"/>
      <c r="S8" s="1252"/>
      <c r="T8" s="893"/>
      <c r="U8" s="256"/>
    </row>
    <row r="9" spans="1:21" ht="14.4" customHeight="1" x14ac:dyDescent="0.2">
      <c r="A9" s="181"/>
      <c r="B9" s="312"/>
      <c r="C9" s="268">
        <v>3</v>
      </c>
      <c r="D9" s="269" t="s">
        <v>1</v>
      </c>
      <c r="E9" s="270" t="str">
        <f>IF(VLOOKUP(CONCATENATE($C$3,"-",C9),Languages!$A:$D,1,TRUE)=CONCATENATE($C$3,"-",C9),VLOOKUP(CONCATENATE($C$3,"-",C9),Languages!$A:$D,Summary!$C$7,TRUE),NA())</f>
        <v>Henkilöstöhallinnon prosessit</v>
      </c>
      <c r="F9" s="329"/>
      <c r="H9" s="271" t="str">
        <f ca="1">VLOOKUP(VLOOKUP(CONCATENATE($C$3,"-",$C9),Data!$K:$O,5,FALSE),Parameters!$C$7:$F$10,Summary!$C$7,FALSE)</f>
        <v>Kypsyystaso 0</v>
      </c>
      <c r="I9" s="505" t="str">
        <f>IF(VLOOKUP("KM111",Languages!$A:$D,1,TRUE)="KM111",VLOOKUP("KM111",Languages!$A:$D,Summary!$C$7,TRUE),NA())</f>
        <v>Osallistujat</v>
      </c>
      <c r="J9" s="479"/>
      <c r="K9" s="261"/>
      <c r="L9" s="157"/>
      <c r="M9" s="256"/>
      <c r="N9" s="892"/>
      <c r="O9" s="1252"/>
      <c r="P9" s="1252"/>
      <c r="Q9" s="1252"/>
      <c r="R9" s="1252"/>
      <c r="S9" s="1252"/>
      <c r="T9" s="893"/>
      <c r="U9" s="256"/>
    </row>
    <row r="10" spans="1:21" ht="14.4" customHeight="1" x14ac:dyDescent="0.2">
      <c r="A10" s="181"/>
      <c r="B10" s="312"/>
      <c r="C10" s="268">
        <v>4</v>
      </c>
      <c r="D10" s="269" t="s">
        <v>1</v>
      </c>
      <c r="E10" s="270" t="str">
        <f>IF(VLOOKUP(CONCATENATE($C$3,"-",C10),Languages!$A:$D,1,TRUE)=CONCATENATE($C$3,"-",C10),VLOOKUP(CONCATENATE($C$3,"-",C10),Languages!$A:$D,Summary!$C$7,TRUE),NA())</f>
        <v>Koulutus ja kybertietoisuuden lisääminen</v>
      </c>
      <c r="F10" s="345"/>
      <c r="H10" s="271" t="str">
        <f ca="1">VLOOKUP(VLOOKUP(CONCATENATE($C$3,"-",$C10),Data!$K:$O,5,FALSE),Parameters!$C$7:$F$10,Summary!$C$7,FALSE)</f>
        <v>Kypsyystaso 0</v>
      </c>
      <c r="I10" s="1208"/>
      <c r="J10" s="1209"/>
      <c r="K10" s="261"/>
      <c r="L10" s="157"/>
      <c r="M10" s="256"/>
      <c r="N10" s="892"/>
      <c r="O10" s="1252"/>
      <c r="P10" s="1252"/>
      <c r="Q10" s="1252"/>
      <c r="R10" s="1252"/>
      <c r="S10" s="1252"/>
      <c r="T10" s="893"/>
      <c r="U10" s="256"/>
    </row>
    <row r="11" spans="1:21" ht="14.4" customHeight="1" x14ac:dyDescent="0.2">
      <c r="A11" s="181"/>
      <c r="B11" s="312"/>
      <c r="C11" s="268">
        <v>5</v>
      </c>
      <c r="D11" s="269" t="s">
        <v>1</v>
      </c>
      <c r="E11" s="270" t="str">
        <f>IF(VLOOKUP(CONCATENATE($C$3,"-",C11),Languages!$A:$D,1,TRUE)=CONCATENATE($C$3,"-",C11),VLOOKUP(CONCATENATE($C$3,"-",C11),Languages!$A:$D,Summary!$C$7,TRUE),NA())</f>
        <v>Yleisiä hallintatoimia</v>
      </c>
      <c r="F11" s="345"/>
      <c r="H11" s="271" t="str">
        <f ca="1">VLOOKUP(VLOOKUP(CONCATENATE($C$3,"-",$C11),Data!$K:$O,5,FALSE),Parameters!$C$7:$F$10,Summary!$C$7,FALSE)</f>
        <v>Kypsyystaso 1</v>
      </c>
      <c r="I11" s="1210"/>
      <c r="J11" s="1211"/>
      <c r="K11" s="261"/>
      <c r="L11" s="157"/>
      <c r="M11" s="256"/>
      <c r="N11" s="892"/>
      <c r="O11" s="1252"/>
      <c r="P11" s="1252"/>
      <c r="Q11" s="1252"/>
      <c r="R11" s="1252"/>
      <c r="S11" s="1252"/>
      <c r="T11" s="893"/>
      <c r="U11" s="256"/>
    </row>
    <row r="12" spans="1:21" s="180" customFormat="1" ht="30" customHeight="1" x14ac:dyDescent="0.25">
      <c r="A12" s="169"/>
      <c r="B12" s="273"/>
      <c r="C12" s="173">
        <v>1</v>
      </c>
      <c r="D12" s="173" t="str">
        <f>IF(VLOOKUP(CONCATENATE($C$3,"-",C12),Languages!$A:$D,1,TRUE)=CONCATENATE($C$3,"-",C12),VLOOKUP(CONCATENATE($C$3,"-",C12),Languages!$A:$D,Summary!$C$7,TRUE),NA())</f>
        <v>Kyberturvallisuuden vastuiden jakaminen</v>
      </c>
      <c r="E12" s="173"/>
      <c r="F12" s="275"/>
      <c r="G12" s="275"/>
      <c r="H12" s="276"/>
      <c r="I12" s="276"/>
      <c r="J12" s="276"/>
      <c r="K12" s="276"/>
      <c r="L12" s="157"/>
      <c r="M12" s="256"/>
      <c r="N12" s="892"/>
      <c r="O12" s="1252"/>
      <c r="P12" s="1252"/>
      <c r="Q12" s="1252"/>
      <c r="R12" s="1252"/>
      <c r="S12" s="1252"/>
      <c r="T12" s="893"/>
      <c r="U12" s="256"/>
    </row>
    <row r="13" spans="1:21" s="282" customFormat="1" ht="49.95" customHeight="1" x14ac:dyDescent="0.2">
      <c r="A13" s="279"/>
      <c r="B13" s="280"/>
      <c r="C13" s="1223" t="str">
        <f>IF(VLOOKUP(CONCATENATE($C$3,"-",$C12,"-0"),Languages!$A:$D,1,TRUE)=CONCATENATE($C$3,"-",$C12,"-0"),VLOOKUP(CONCATENATE($C$3,"-",$C12,"-0"),Languages!$A:$D,Summary!$C$7,TRUE),NA())</f>
        <v>Tärkeä osa kyberturvallisuuden vastuiden jakamista on varmistua siitä, että vastuut on katettu riittävästi ja riittävällä korvaavuudella ("redundancy"). Roolit, joihin kuuluu merkittäviä kyberturvallisuuden vastuita, on usein helppo tunnistaa, mutta roolien jatkuvuuden takaaminen voi olla haastavampaa. On äärimmäisen tärkeää määrittää konkreettiset suunnitelmat kyberturvallisuuden avainroolien (esim. pääkäyttäjien) kouluttamiseen, sijaisuuksien varmistamiseen, testauttamiseen ja arviointiin. On myös tärkeä huomioida, että kyberturvallisuuden vastuut eivät rajoitu vain perinteisiin IT-rooleihin.</v>
      </c>
      <c r="D13" s="1223"/>
      <c r="E13" s="1223"/>
      <c r="F13" s="1223"/>
      <c r="G13" s="1223"/>
      <c r="H13" s="1223"/>
      <c r="I13" s="1223"/>
      <c r="J13" s="1223"/>
      <c r="K13" s="1223"/>
      <c r="L13" s="157"/>
      <c r="M13" s="256"/>
      <c r="N13" s="892"/>
      <c r="O13" s="1252"/>
      <c r="P13" s="1252"/>
      <c r="Q13" s="1252"/>
      <c r="R13" s="1252"/>
      <c r="S13" s="1252"/>
      <c r="T13" s="893"/>
      <c r="U13" s="256"/>
    </row>
    <row r="14" spans="1:21" s="180" customFormat="1" ht="30" customHeight="1" x14ac:dyDescent="0.25">
      <c r="A14" s="169"/>
      <c r="B14" s="273"/>
      <c r="C14" s="173">
        <v>2</v>
      </c>
      <c r="D14" s="173" t="str">
        <f>IF(VLOOKUP(CONCATENATE($C$3,"-",C14),Languages!$A:$D,1,TRUE)=CONCATENATE($C$3,"-",C14),VLOOKUP(CONCATENATE($C$3,"-",C14),Languages!$A:$D,Summary!$C$7,TRUE),NA())</f>
        <v>Kyberturvallisuuteen keskittyvän henkilöstön kehittäminen</v>
      </c>
      <c r="E14" s="173"/>
      <c r="F14" s="296"/>
      <c r="G14" s="296" t="s">
        <v>16</v>
      </c>
      <c r="H14" s="297"/>
      <c r="I14" s="297"/>
      <c r="J14" s="297"/>
      <c r="K14" s="297"/>
      <c r="L14" s="157"/>
      <c r="M14" s="256"/>
      <c r="N14" s="892"/>
      <c r="O14" s="1252"/>
      <c r="P14" s="1252"/>
      <c r="Q14" s="1252"/>
      <c r="R14" s="1252"/>
      <c r="S14" s="1252"/>
      <c r="T14" s="893"/>
      <c r="U14" s="256"/>
    </row>
    <row r="15" spans="1:21" s="282" customFormat="1" ht="65.55" customHeight="1" x14ac:dyDescent="0.2">
      <c r="A15" s="279"/>
      <c r="B15" s="280"/>
      <c r="C15" s="1223" t="str">
        <f>IF(VLOOKUP(CONCATENATE($C$3,"-",$C14,"-0"),Languages!$A:$D,1,TRUE)=CONCATENATE($C$3,"-",$C14,"-0"),VLOOKUP(CONCATENATE($C$3,"-",$C14,"-0"),Languages!$A:$D,Summary!$C$7,TRUE),NA())</f>
        <v>Organisaation kyberhenkilöstön (eli työntekijöiden, joilla tehtävänkuvaan kuuluu kyberturvallisuuteen liittyviä vastuita) kehittämiseen kuuluu olemassa olevien työntekijöiden kouluttaminen ja tarvittaessa uusien työntekijöiden rekrytointi tunnistettujen osaamispuutteiden täyttämiseksi. Rekrytointiprosesseissa tulee huomioida esimerkiksi se, että sekä rekrytoijat että haastateltavat ovat tietoisia organisaation kyberhenkilöstöön kohdistuvista tarpeista. Lisäksi työntekijöiden (ja ulkoisten toimittajien) tulisi osallistua säännöllisesti koulutuksiin, joilla lisätään henkilöstön kyberturvallisuustietoisuutta (esimerkiksi tietojenkalastelun tai muiden uhkien pienentämiseksi). Koulutusten ja tietoisuuskampanjoiden tehokkuutta tulisi arvioida tarpeen mukaan.</v>
      </c>
      <c r="D15" s="1223"/>
      <c r="E15" s="1223"/>
      <c r="F15" s="1223"/>
      <c r="G15" s="1223"/>
      <c r="H15" s="1223"/>
      <c r="I15" s="1223"/>
      <c r="J15" s="1223"/>
      <c r="K15" s="1223"/>
      <c r="L15" s="157"/>
      <c r="M15" s="256"/>
      <c r="N15" s="892"/>
      <c r="O15" s="1252"/>
      <c r="P15" s="1252"/>
      <c r="Q15" s="1252"/>
      <c r="R15" s="1252"/>
      <c r="S15" s="1252"/>
      <c r="T15" s="893"/>
      <c r="U15" s="256"/>
    </row>
    <row r="16" spans="1:21" s="180" customFormat="1" ht="30" customHeight="1" x14ac:dyDescent="0.25">
      <c r="A16" s="169"/>
      <c r="B16" s="273"/>
      <c r="C16" s="173">
        <v>3</v>
      </c>
      <c r="D16" s="173" t="str">
        <f>IF(VLOOKUP(CONCATENATE($C$3,"-",C16),Languages!$A:$D,1,TRUE)=CONCATENATE($C$3,"-",C16),VLOOKUP(CONCATENATE($C$3,"-",C16),Languages!$A:$D,Summary!$C$7,TRUE),NA())</f>
        <v>Henkilöstöhallinnon prosessit</v>
      </c>
      <c r="E16" s="173"/>
      <c r="F16" s="296"/>
      <c r="G16" s="296" t="s">
        <v>16</v>
      </c>
      <c r="H16" s="297"/>
      <c r="I16" s="297"/>
      <c r="J16" s="297"/>
      <c r="K16" s="297"/>
      <c r="L16" s="157"/>
      <c r="M16" s="256"/>
      <c r="N16" s="892"/>
      <c r="O16" s="1252"/>
      <c r="P16" s="1252"/>
      <c r="Q16" s="1252"/>
      <c r="R16" s="1252"/>
      <c r="S16" s="1252"/>
      <c r="T16" s="893"/>
      <c r="U16" s="256"/>
    </row>
    <row r="17" spans="1:21" s="300" customFormat="1" ht="49.95" customHeight="1" x14ac:dyDescent="0.2">
      <c r="A17" s="309"/>
      <c r="B17" s="713"/>
      <c r="C17" s="1223" t="str">
        <f>IF(VLOOKUP(CONCATENATE($C$3,"-",$C16,"-0"),Languages!$A:$D,1,TRUE)=CONCATENATE($C$3,"-",$C16,"-0"),VLOOKUP(CONCATENATE($C$3,"-",$C16,"-0"),Languages!$A:$D,Summary!$C$7,TRUE),NA())</f>
        <v>Henkilöstön hallintatoimiin kuuluvat esimerkiksi työntekijöiden taustatarkastukset (esim. turvallisuusselvitys) siten, että tarkempia selvityksiä teetetään työtehtäviin, joihin kuuluu pääsy toiminnan osa-alueen toimintavarmuuden kannalta tärkeisiin suojattaviin kohteisiin. Esimerkiksi pääkäyttäjille (joilla on tyypillisesti oikeudet tehdä muutoksia asetuksiin, muokata tai poistaa lokitietoja, luoda uusia tunnuksia tai muokata salasanoja) määritellään korkeampi riskitaso ja tehdään tarvittavat toimenpiteet järjestelmien suojaamiseksi näiden käyttäjien tahallisilta tai tahattomilta toimilta.</v>
      </c>
      <c r="D17" s="1223"/>
      <c r="E17" s="1223"/>
      <c r="F17" s="1223"/>
      <c r="G17" s="1223"/>
      <c r="H17" s="1223"/>
      <c r="I17" s="1223"/>
      <c r="J17" s="1223"/>
      <c r="K17" s="1223"/>
      <c r="L17" s="157"/>
      <c r="M17" s="256"/>
      <c r="N17" s="892"/>
      <c r="O17" s="1252"/>
      <c r="P17" s="1252"/>
      <c r="Q17" s="1252"/>
      <c r="R17" s="1252"/>
      <c r="S17" s="1252"/>
      <c r="T17" s="893"/>
      <c r="U17" s="256"/>
    </row>
    <row r="18" spans="1:21" s="180" customFormat="1" ht="30" customHeight="1" x14ac:dyDescent="0.25">
      <c r="A18" s="169"/>
      <c r="B18" s="273"/>
      <c r="C18" s="173">
        <v>4</v>
      </c>
      <c r="D18" s="173" t="str">
        <f>IF(VLOOKUP(CONCATENATE($C$3,"-",C18),Languages!$A:$D,1,TRUE)=CONCATENATE($C$3,"-",C18),VLOOKUP(CONCATENATE($C$3,"-",C18),Languages!$A:$D,Summary!$C$7,TRUE),NA())</f>
        <v>Koulutus ja kybertietoisuuden lisääminen</v>
      </c>
      <c r="E18" s="173"/>
      <c r="F18" s="296"/>
      <c r="G18" s="296" t="s">
        <v>16</v>
      </c>
      <c r="H18" s="297"/>
      <c r="I18" s="297"/>
      <c r="J18" s="297"/>
      <c r="K18" s="297"/>
      <c r="L18" s="157"/>
      <c r="M18" s="256"/>
      <c r="N18" s="892"/>
      <c r="O18" s="1252"/>
      <c r="P18" s="1252"/>
      <c r="Q18" s="1252"/>
      <c r="R18" s="1252"/>
      <c r="S18" s="1252"/>
      <c r="T18" s="893"/>
      <c r="U18" s="256"/>
    </row>
    <row r="19" spans="1:21" s="300" customFormat="1" ht="84.6" customHeight="1" x14ac:dyDescent="0.2">
      <c r="A19" s="309"/>
      <c r="B19" s="713"/>
      <c r="C19" s="1223" t="str">
        <f>IF(VLOOKUP(CONCATENATE($C$3,"-",$C18,"-0"),Languages!$A:$D,1,TRUE)=CONCATENATE($C$3,"-",$C18,"-0"),VLOOKUP(CONCATENATE($C$3,"-",$C18,"-0"),Languages!$A:$D,Summary!$C$7,TRUE),NA())</f>
        <v>Kybertietoisuuden lisääminen on yhtä tärkeää organisaation kyberturvallisuuden parantamiseksi kuin teknisten kontrollien toteuttaminen. Organisaatioon kohdistuva kyberhyökkäys alkaa usein hankkimalla jalansija organisaation IT- tai OT-järjestelmiin. Hyökkääjä voi esimerkiksi ujuttaa organisaation verkkoon haitallisia tiedostoja tai laitteita varomattoman työntekijän tai alihankkijan avulla. Organisaation tulee jakaa tietoa organisaation sisällä, jotta henkilöstö osaisi paremmin tunnistaa epäilyttävän toiminnan, roskapostin tai tietojenkalastelun tunnistamiseksi ja tunnistaisi miten välttää jakamasta organisaation luottamuksellisia tietoja mahdolliselle hyökkääjälle. Tietoa toimialan uusimmista uhkista ja haavoittuvuuksista voidaan jakaa esimerkiksi organisaation sisäisten verkkosivujen kautta. Mikäli mitään tietoa uhkista, haavoittuvuuksista tai parhaista käytännöistä ei jaeta organisaatiossa saattaa turvallisuuskäytäntöjen ja turvallisten toimintatapojen noudattaminen alkaa lipsua organisaatiossa.</v>
      </c>
      <c r="D19" s="1223"/>
      <c r="E19" s="1223"/>
      <c r="F19" s="1223"/>
      <c r="G19" s="1223"/>
      <c r="H19" s="1223"/>
      <c r="I19" s="1223"/>
      <c r="J19" s="1223"/>
      <c r="K19" s="1223"/>
      <c r="L19" s="157"/>
      <c r="M19" s="256"/>
      <c r="N19" s="892"/>
      <c r="O19" s="1252"/>
      <c r="P19" s="1252"/>
      <c r="Q19" s="1252"/>
      <c r="R19" s="1252"/>
      <c r="S19" s="1252"/>
      <c r="T19" s="893"/>
      <c r="U19" s="256"/>
    </row>
    <row r="20" spans="1:21" s="180" customFormat="1" ht="30" customHeight="1" x14ac:dyDescent="0.25">
      <c r="A20" s="169"/>
      <c r="B20" s="273"/>
      <c r="C20" s="173">
        <v>5</v>
      </c>
      <c r="D20" s="173" t="str">
        <f>IF(VLOOKUP(CONCATENATE($C$3,"-",C20),Languages!$A:$D,1,TRUE)=CONCATENATE($C$3,"-",C20),VLOOKUP(CONCATENATE($C$3,"-",C20),Languages!$A:$D,Summary!$C$7,TRUE),NA())</f>
        <v>Yleisiä hallintatoimia</v>
      </c>
      <c r="E20" s="173"/>
      <c r="F20" s="296"/>
      <c r="G20" s="296" t="s">
        <v>16</v>
      </c>
      <c r="H20" s="297"/>
      <c r="I20" s="297"/>
      <c r="J20" s="297"/>
      <c r="K20" s="297"/>
      <c r="L20" s="157"/>
      <c r="M20" s="256"/>
      <c r="N20" s="892"/>
      <c r="O20" s="1252"/>
      <c r="P20" s="1252"/>
      <c r="Q20" s="1252"/>
      <c r="R20" s="1252"/>
      <c r="S20" s="1252"/>
      <c r="T20" s="893"/>
      <c r="U20" s="256"/>
    </row>
    <row r="21" spans="1:21" s="282" customFormat="1" ht="49.8" customHeight="1" x14ac:dyDescent="0.2">
      <c r="A21" s="309"/>
      <c r="B21" s="310"/>
      <c r="C21" s="1223" t="str">
        <f>IF(VLOOKUP(CONCATENATE($C$3,"-",$C20,"-0"),Languages!$A:$D,1,TRUE)=CONCATENATE($C$3,"-",$C20,"-0"),VLOOKUP(CONCATENATE($C$3,"-",$C20,"-0"),Languages!$A:$D,Summary!$C$7,TRUE),NA())</f>
        <v>Yleisillä hallintatoimilla arvioidaan sitä, kuinka syvällisesti osion kyberturvallisuuskäytännöt ovat juurtuneet osaksi organisaation toimintaa. Mitä syvemmin käytännöt ovat osa organisaation päivittäistä tekemistä sitä todennäköisempää on, että organisaatio noudattaa niitä myös kriisitilanteissa ja ajan kuluessa. Toisin sanoen, toiminta säilyy säännöllisenä, toistettavana ja korkealaatuisena.</v>
      </c>
      <c r="D21" s="1223"/>
      <c r="E21" s="1223"/>
      <c r="F21" s="1223"/>
      <c r="G21" s="1223"/>
      <c r="H21" s="1223"/>
      <c r="I21" s="1223"/>
      <c r="J21" s="1223"/>
      <c r="K21" s="1223"/>
      <c r="L21" s="157"/>
      <c r="M21" s="256"/>
      <c r="N21" s="894"/>
      <c r="O21" s="1253"/>
      <c r="P21" s="1253"/>
      <c r="Q21" s="1253"/>
      <c r="R21" s="1253"/>
      <c r="S21" s="1253"/>
      <c r="T21" s="895"/>
      <c r="U21" s="256"/>
    </row>
    <row r="22" spans="1:21" s="282" customFormat="1" ht="18" customHeight="1" x14ac:dyDescent="0.25">
      <c r="A22" s="309"/>
      <c r="B22" s="734"/>
      <c r="C22" s="734"/>
      <c r="D22" s="734"/>
      <c r="E22" s="734"/>
      <c r="F22" s="734"/>
      <c r="G22" s="734"/>
      <c r="H22" s="734"/>
      <c r="I22" s="734"/>
      <c r="J22" s="734"/>
      <c r="K22" s="734"/>
      <c r="L22" s="735"/>
      <c r="M22" s="138"/>
      <c r="N22" s="138"/>
      <c r="O22" s="255"/>
      <c r="P22" s="254"/>
      <c r="Q22" s="855"/>
      <c r="R22" s="254"/>
      <c r="S22" s="254"/>
      <c r="T22" s="138"/>
      <c r="U22" s="138"/>
    </row>
    <row r="23" spans="1:21" s="282" customFormat="1" ht="19.95" customHeight="1" x14ac:dyDescent="0.2">
      <c r="A23" s="309"/>
      <c r="B23" s="723"/>
      <c r="C23" s="721"/>
      <c r="D23" s="721"/>
      <c r="E23" s="721"/>
      <c r="F23" s="721"/>
      <c r="G23" s="721"/>
      <c r="H23" s="721"/>
      <c r="I23" s="721"/>
      <c r="J23" s="721"/>
      <c r="K23" s="721"/>
      <c r="L23" s="722"/>
      <c r="M23" s="256"/>
      <c r="N23" s="504" t="str">
        <f>IF(VLOOKUP("KM116",Languages!$A:$D,1,TRUE)="KM116",VLOOKUP("KM116",Languages!$A:$D,Summary!$C$7,TRUE),NA())</f>
        <v>EDELLINEN ARVIOINTI</v>
      </c>
      <c r="O23" s="442"/>
      <c r="P23" s="259"/>
      <c r="Q23" s="856" t="str">
        <f>IF(VLOOKUP("KM110",Languages!$A:$D,1,TRUE)="KM110",VLOOKUP("KM110",Languages!$A:$D,Summary!$C$7,TRUE),NA())</f>
        <v>Päivämäärä</v>
      </c>
      <c r="R23" s="259"/>
      <c r="S23" s="259"/>
      <c r="T23" s="150"/>
      <c r="U23" s="256"/>
    </row>
    <row r="24" spans="1:21" s="180" customFormat="1" ht="19.95" customHeight="1" x14ac:dyDescent="0.25">
      <c r="A24" s="169"/>
      <c r="B24" s="273"/>
      <c r="C24" s="173">
        <v>1</v>
      </c>
      <c r="D24" s="173" t="str">
        <f>IF(VLOOKUP(CONCATENATE($C$3,"-",C24),Languages!$A:$D,1,TRUE)=CONCATENATE($C$3,"-",C24),VLOOKUP(CONCATENATE($C$3,"-",C24),Languages!$A:$D,Summary!$C$7,TRUE),NA())</f>
        <v>Kyberturvallisuuden vastuiden jakaminen</v>
      </c>
      <c r="E24" s="173"/>
      <c r="F24" s="275"/>
      <c r="G24" s="275"/>
      <c r="H24" s="276"/>
      <c r="I24" s="276"/>
      <c r="J24" s="276"/>
      <c r="K24" s="276"/>
      <c r="L24" s="157"/>
      <c r="M24" s="309"/>
      <c r="N24" s="310"/>
      <c r="O24" s="443"/>
      <c r="P24" s="438"/>
      <c r="Q24" s="781"/>
      <c r="R24" s="854"/>
      <c r="S24" s="854"/>
      <c r="T24" s="281"/>
      <c r="U24" s="309"/>
    </row>
    <row r="25" spans="1:21" s="289" customFormat="1" ht="19.95" customHeight="1" x14ac:dyDescent="0.2">
      <c r="A25" s="308"/>
      <c r="B25" s="283"/>
      <c r="C25" s="284" t="str">
        <f>IF(VLOOKUP("GEN-LEVEL",Languages!$A:$D,1,TRUE)="GEN-LEVEL",VLOOKUP("GEN-LEVEL",Languages!$A:$D,Summary!$C$7,TRUE),NA())</f>
        <v>Taso</v>
      </c>
      <c r="D25" s="284"/>
      <c r="E25" s="285" t="str">
        <f>IF(VLOOKUP("GEN-PRACTICE",Languages!$A:$D,1,TRUE)="GEN-PRACTICE",VLOOKUP("GEN-PRACTICE",Languages!$A:$D,Summary!$C$7,TRUE),NA())</f>
        <v>Käytäntö</v>
      </c>
      <c r="F25" s="286"/>
      <c r="G25" s="1003" t="str">
        <f>IF(VLOOKUP("GEN-ANSWER",Languages!$A:$D,1,TRUE)="GEN-ANSWER",VLOOKUP("GEN-ANSWER",Languages!$A:$D,Summary!$C$7,TRUE),NA())</f>
        <v>Vastaus</v>
      </c>
      <c r="H25" s="1004" t="str">
        <f>IF(VLOOKUP("KM112",Languages!$A:$D,1,TRUE)="KM112",VLOOKUP("KM112",Languages!$A:$D,Summary!$C$7,TRUE),NA())</f>
        <v>Kommentit</v>
      </c>
      <c r="I25" s="1004" t="str">
        <f>IF(VLOOKUP("KM113",Languages!$A:$D,1,TRUE)="KM113",VLOOKUP("KM113",Languages!$A:$D,Summary!$C$7,TRUE),NA())</f>
        <v>Sisäinen viittaus</v>
      </c>
      <c r="J25" s="1004" t="str">
        <f>IF(VLOOKUP("KM114",Languages!$A:$D,1,TRUE)="KM114",VLOOKUP("KM114",Languages!$A:$D,Summary!$C$7,TRUE),NA())</f>
        <v>Ulkoinen viittaus</v>
      </c>
      <c r="K25" s="1004" t="str">
        <f>IF(VLOOKUP("KM115",Languages!$A:$D,1,TRUE)="KM115",VLOOKUP("KM115",Languages!$A:$D,Summary!$C$7,TRUE),NA())</f>
        <v>Kehityskohde</v>
      </c>
      <c r="L25" s="287"/>
      <c r="M25" s="288"/>
      <c r="N25" s="283"/>
      <c r="O25" s="503" t="str">
        <f>IF(VLOOKUP("GEN-ANSWER",Languages!$A:$D,1,TRUE)="GEN-ANSWER",VLOOKUP("GEN-ANSWER",Languages!$A:$D,Summary!$C$7,TRUE),NA())</f>
        <v>Vastaus</v>
      </c>
      <c r="P25" s="503" t="str">
        <f>IF(VLOOKUP("KM112",Languages!$A:$D,1,TRUE)="KM112",VLOOKUP("KM112",Languages!$A:$D,Summary!$C$7,TRUE),NA())</f>
        <v>Kommentit</v>
      </c>
      <c r="Q25" s="503" t="str">
        <f>IF(VLOOKUP("KM113",Languages!$A:$D,1,TRUE)="KM113",VLOOKUP("KM113",Languages!$A:$D,Summary!$C$7,TRUE),NA())</f>
        <v>Sisäinen viittaus</v>
      </c>
      <c r="R25" s="503" t="str">
        <f>IF(VLOOKUP("KM114",Languages!$A:$D,1,TRUE)="KM114",VLOOKUP("KM114",Languages!$A:$D,Summary!$C$7,TRUE),NA())</f>
        <v>Ulkoinen viittaus</v>
      </c>
      <c r="S25" s="503" t="str">
        <f>IF(VLOOKUP("KM115",Languages!$A:$D,1,TRUE)="KM115",VLOOKUP("KM115",Languages!$A:$D,Summary!$C$7,TRUE),NA())</f>
        <v>Kehityskohde</v>
      </c>
      <c r="T25" s="287"/>
      <c r="U25" s="288"/>
    </row>
    <row r="26" spans="1:21" s="293" customFormat="1" ht="34.950000000000003" customHeight="1" x14ac:dyDescent="0.2">
      <c r="A26" s="279"/>
      <c r="B26" s="1204"/>
      <c r="C26" s="1248">
        <v>1</v>
      </c>
      <c r="D26" s="397" t="s">
        <v>5</v>
      </c>
      <c r="E26" s="507" t="str">
        <f>IF(VLOOKUP(CONCATENATE($C$3,"-",$D26),Languages!$A:$D,1,TRUE)=CONCATENATE($C$3,"-",$D26),VLOOKUP(CONCATENATE($C$3,"-",$D26),Languages!$A:$D,Summary!$C$7,TRUE),NA())</f>
        <v>Toiminnon kyberturvallisuuteen liittyvät vastuut on tunnistettu. Tasolla 1 tämän ei tarvitse olla systemaattista ja säännöllistä.</v>
      </c>
      <c r="F26" s="396">
        <f t="shared" ref="F26:F31" si="0">IFERROR(INT(LEFT($G26,1)),0)</f>
        <v>0</v>
      </c>
      <c r="G26" s="485"/>
      <c r="H26" s="486"/>
      <c r="I26" s="486"/>
      <c r="J26" s="486"/>
      <c r="K26" s="487"/>
      <c r="L26" s="157"/>
      <c r="M26" s="256"/>
      <c r="N26" s="152"/>
      <c r="O26" s="988" t="str">
        <f>VLOOKUP(VLOOKUP($C$3&amp;"-"&amp;$D26,Import!$C:$D,2,FALSE),Parameters!$C$18:$F$22,Summary!$C$7,FALSE)</f>
        <v xml:space="preserve">0 - Vastaus puuttuu </v>
      </c>
      <c r="P26" s="1032" t="str">
        <f>IF(VLOOKUP($C$3&amp;"-"&amp;$D26,Import!$C:$H,3,FALSE)=0,"",VLOOKUP($C$3&amp;"-"&amp;$D26,Import!$C:$H,3,FALSE))</f>
        <v/>
      </c>
      <c r="Q26" s="1032" t="str">
        <f>IF(VLOOKUP($C$3&amp;"-"&amp;$D26,Import!$C:$H,4,FALSE)=0,"",VLOOKUP($C$3&amp;"-"&amp;$D26,Import!$C:$H,4,FALSE))</f>
        <v/>
      </c>
      <c r="R26" s="1032" t="str">
        <f>IF(VLOOKUP($C$3&amp;"-"&amp;$D26,Import!$C:$H,5,FALSE)=0,"",VLOOKUP($C$3&amp;"-"&amp;$D26,Import!$C:$H,5,FALSE))</f>
        <v/>
      </c>
      <c r="S26" s="1033" t="str">
        <f>IF(VLOOKUP($C$3&amp;"-"&amp;$D26,Import!$C:$H,6,FALSE)=0,"",VLOOKUP($C$3&amp;"-"&amp;$D26,Import!$C:$H,6,FALSE))</f>
        <v/>
      </c>
      <c r="T26" s="157"/>
      <c r="U26" s="256"/>
    </row>
    <row r="27" spans="1:21" s="293" customFormat="1" ht="41.4" customHeight="1" x14ac:dyDescent="0.2">
      <c r="A27" s="279"/>
      <c r="B27" s="1204"/>
      <c r="C27" s="1250"/>
      <c r="D27" s="418" t="s">
        <v>7</v>
      </c>
      <c r="E27" s="514" t="str">
        <f>IF(VLOOKUP(CONCATENATE($C$3,"-",$D27),Languages!$A:$D,1,TRUE)=CONCATENATE($C$3,"-",$D27),VLOOKUP(CONCATENATE($C$3,"-",$D27),Languages!$A:$D,Summary!$C$7,TRUE),NA())</f>
        <v>Kyberturvallisuuteen liittyvät vastuut on osoitettu nimetyille henkilöille. Tasolla 1 tämän ei tarvitse olla systemaattista ja säännöllistä.</v>
      </c>
      <c r="F27" s="403">
        <f t="shared" si="0"/>
        <v>0</v>
      </c>
      <c r="G27" s="489"/>
      <c r="H27" s="481"/>
      <c r="I27" s="481"/>
      <c r="J27" s="481"/>
      <c r="K27" s="490"/>
      <c r="L27" s="157"/>
      <c r="M27" s="256"/>
      <c r="N27" s="152"/>
      <c r="O27" s="996" t="str">
        <f>VLOOKUP(VLOOKUP($C$3&amp;"-"&amp;$D27,Import!$C:$D,2,FALSE),Parameters!$C$18:$F$22,Summary!$C$7,FALSE)</f>
        <v xml:space="preserve">0 - Vastaus puuttuu </v>
      </c>
      <c r="P27" s="1034" t="str">
        <f>IF(VLOOKUP($C$3&amp;"-"&amp;$D27,Import!$C:$H,3,FALSE)=0,"",VLOOKUP($C$3&amp;"-"&amp;$D27,Import!$C:$H,3,FALSE))</f>
        <v/>
      </c>
      <c r="Q27" s="1034" t="str">
        <f>IF(VLOOKUP($C$3&amp;"-"&amp;$D27,Import!$C:$H,4,FALSE)=0,"",VLOOKUP($C$3&amp;"-"&amp;$D27,Import!$C:$H,4,FALSE))</f>
        <v/>
      </c>
      <c r="R27" s="1034" t="str">
        <f>IF(VLOOKUP($C$3&amp;"-"&amp;$D27,Import!$C:$H,5,FALSE)=0,"",VLOOKUP($C$3&amp;"-"&amp;$D27,Import!$C:$H,5,FALSE))</f>
        <v/>
      </c>
      <c r="S27" s="1035" t="str">
        <f>IF(VLOOKUP($C$3&amp;"-"&amp;$D27,Import!$C:$H,6,FALSE)=0,"",VLOOKUP($C$3&amp;"-"&amp;$D27,Import!$C:$H,6,FALSE))</f>
        <v/>
      </c>
      <c r="T27" s="157"/>
      <c r="U27" s="256"/>
    </row>
    <row r="28" spans="1:21" s="293" customFormat="1" ht="34.950000000000003" customHeight="1" x14ac:dyDescent="0.2">
      <c r="A28" s="279"/>
      <c r="B28" s="1204"/>
      <c r="C28" s="1231">
        <v>2</v>
      </c>
      <c r="D28" s="397" t="s">
        <v>8</v>
      </c>
      <c r="E28" s="507" t="str">
        <f>IF(VLOOKUP(CONCATENATE($C$3,"-",$D28),Languages!$A:$D,1,TRUE)=CONCATENATE($C$3,"-",$D28),VLOOKUP(CONCATENATE($C$3,"-",$D28),Languages!$A:$D,Summary!$C$7,TRUE),NA())</f>
        <v>Kyberturvallisuuteen liittyvät vastuut on osoitettu nimetyille rooleille (mukaan lukien mahdolliset ulkoiset palveluntarjoajat).</v>
      </c>
      <c r="F28" s="396">
        <f t="shared" si="0"/>
        <v>0</v>
      </c>
      <c r="G28" s="485"/>
      <c r="H28" s="486"/>
      <c r="I28" s="486"/>
      <c r="J28" s="486"/>
      <c r="K28" s="487"/>
      <c r="L28" s="157"/>
      <c r="M28" s="256"/>
      <c r="N28" s="152"/>
      <c r="O28" s="988" t="str">
        <f>VLOOKUP(VLOOKUP($C$3&amp;"-"&amp;$D28,Import!$C:$D,2,FALSE),Parameters!$C$18:$F$22,Summary!$C$7,FALSE)</f>
        <v xml:space="preserve">0 - Vastaus puuttuu </v>
      </c>
      <c r="P28" s="1032" t="str">
        <f>IF(VLOOKUP($C$3&amp;"-"&amp;$D28,Import!$C:$H,3,FALSE)=0,"",VLOOKUP($C$3&amp;"-"&amp;$D28,Import!$C:$H,3,FALSE))</f>
        <v/>
      </c>
      <c r="Q28" s="1032" t="str">
        <f>IF(VLOOKUP($C$3&amp;"-"&amp;$D28,Import!$C:$H,4,FALSE)=0,"",VLOOKUP($C$3&amp;"-"&amp;$D28,Import!$C:$H,4,FALSE))</f>
        <v/>
      </c>
      <c r="R28" s="1032" t="str">
        <f>IF(VLOOKUP($C$3&amp;"-"&amp;$D28,Import!$C:$H,5,FALSE)=0,"",VLOOKUP($C$3&amp;"-"&amp;$D28,Import!$C:$H,5,FALSE))</f>
        <v/>
      </c>
      <c r="S28" s="1033" t="str">
        <f>IF(VLOOKUP($C$3&amp;"-"&amp;$D28,Import!$C:$H,6,FALSE)=0,"",VLOOKUP($C$3&amp;"-"&amp;$D28,Import!$C:$H,6,FALSE))</f>
        <v/>
      </c>
      <c r="T28" s="157"/>
      <c r="U28" s="256"/>
    </row>
    <row r="29" spans="1:21" s="293" customFormat="1" ht="34.950000000000003" customHeight="1" x14ac:dyDescent="0.2">
      <c r="A29" s="279"/>
      <c r="B29" s="1204"/>
      <c r="C29" s="1233"/>
      <c r="D29" s="418" t="s">
        <v>9</v>
      </c>
      <c r="E29" s="512" t="str">
        <f>IF(VLOOKUP(CONCATENATE($C$3,"-",$D29),Languages!$A:$D,1,TRUE)=CONCATENATE($C$3,"-",$D29),VLOOKUP(CONCATENATE($C$3,"-",$D29),Languages!$A:$D,Summary!$C$7,TRUE),NA())</f>
        <v>Kyberturvallisuuteen liittyvät vastuut on dokumentoitu.</v>
      </c>
      <c r="F29" s="403">
        <f t="shared" si="0"/>
        <v>0</v>
      </c>
      <c r="G29" s="489"/>
      <c r="H29" s="481"/>
      <c r="I29" s="481"/>
      <c r="J29" s="481"/>
      <c r="K29" s="490"/>
      <c r="L29" s="157"/>
      <c r="M29" s="256"/>
      <c r="N29" s="152"/>
      <c r="O29" s="996" t="str">
        <f>VLOOKUP(VLOOKUP($C$3&amp;"-"&amp;$D29,Import!$C:$D,2,FALSE),Parameters!$C$18:$F$22,Summary!$C$7,FALSE)</f>
        <v xml:space="preserve">0 - Vastaus puuttuu </v>
      </c>
      <c r="P29" s="1034" t="str">
        <f>IF(VLOOKUP($C$3&amp;"-"&amp;$D29,Import!$C:$H,3,FALSE)=0,"",VLOOKUP($C$3&amp;"-"&amp;$D29,Import!$C:$H,3,FALSE))</f>
        <v/>
      </c>
      <c r="Q29" s="1034" t="str">
        <f>IF(VLOOKUP($C$3&amp;"-"&amp;$D29,Import!$C:$H,4,FALSE)=0,"",VLOOKUP($C$3&amp;"-"&amp;$D29,Import!$C:$H,4,FALSE))</f>
        <v/>
      </c>
      <c r="R29" s="1034" t="str">
        <f>IF(VLOOKUP($C$3&amp;"-"&amp;$D29,Import!$C:$H,5,FALSE)=0,"",VLOOKUP($C$3&amp;"-"&amp;$D29,Import!$C:$H,5,FALSE))</f>
        <v/>
      </c>
      <c r="S29" s="1035" t="str">
        <f>IF(VLOOKUP($C$3&amp;"-"&amp;$D29,Import!$C:$H,6,FALSE)=0,"",VLOOKUP($C$3&amp;"-"&amp;$D29,Import!$C:$H,6,FALSE))</f>
        <v/>
      </c>
      <c r="T29" s="157"/>
      <c r="U29" s="256"/>
    </row>
    <row r="30" spans="1:21" s="293" customFormat="1" ht="60.6" customHeight="1" x14ac:dyDescent="0.2">
      <c r="A30" s="279"/>
      <c r="B30" s="1204"/>
      <c r="C30" s="1234">
        <v>3</v>
      </c>
      <c r="D30" s="399" t="s">
        <v>10</v>
      </c>
      <c r="E30" s="511" t="str">
        <f>IF(VLOOKUP(CONCATENATE($C$3,"-",$D30),Languages!$A:$D,1,TRUE)=CONCATENATE($C$3,"-",$D30),VLOOKUP(CONCATENATE($C$3,"-",$D30),Languages!$A:$D,Summary!$C$7,TRUE),NA())</f>
        <v>Kyberturvallisuuteen liittyvät vastuut ja työtehtävien vaatimukset tarkastetaan ja päivitetään aika ajoin ja määriteltyjen tilanteiden kuten järjestelmämuutosten yhteydessä tai organisaatiorakenteen muuttuessa.</v>
      </c>
      <c r="F30" s="396">
        <f t="shared" si="0"/>
        <v>0</v>
      </c>
      <c r="G30" s="485"/>
      <c r="H30" s="482"/>
      <c r="I30" s="482"/>
      <c r="J30" s="482"/>
      <c r="K30" s="491"/>
      <c r="L30" s="157"/>
      <c r="M30" s="256"/>
      <c r="N30" s="152"/>
      <c r="O30" s="988" t="str">
        <f>VLOOKUP(VLOOKUP($C$3&amp;"-"&amp;$D30,Import!$C:$D,2,FALSE),Parameters!$C$18:$F$22,Summary!$C$7,FALSE)</f>
        <v xml:space="preserve">0 - Vastaus puuttuu </v>
      </c>
      <c r="P30" s="1022" t="str">
        <f>IF(VLOOKUP($C$3&amp;"-"&amp;$D30,Import!$C:$H,3,FALSE)=0,"",VLOOKUP($C$3&amp;"-"&amp;$D30,Import!$C:$H,3,FALSE))</f>
        <v/>
      </c>
      <c r="Q30" s="1022" t="str">
        <f>IF(VLOOKUP($C$3&amp;"-"&amp;$D30,Import!$C:$H,4,FALSE)=0,"",VLOOKUP($C$3&amp;"-"&amp;$D30,Import!$C:$H,4,FALSE))</f>
        <v/>
      </c>
      <c r="R30" s="1022" t="str">
        <f>IF(VLOOKUP($C$3&amp;"-"&amp;$D30,Import!$C:$H,5,FALSE)=0,"",VLOOKUP($C$3&amp;"-"&amp;$D30,Import!$C:$H,5,FALSE))</f>
        <v/>
      </c>
      <c r="S30" s="1023" t="str">
        <f>IF(VLOOKUP($C$3&amp;"-"&amp;$D30,Import!$C:$H,6,FALSE)=0,"",VLOOKUP($C$3&amp;"-"&amp;$D30,Import!$C:$H,6,FALSE))</f>
        <v/>
      </c>
      <c r="T30" s="157"/>
      <c r="U30" s="256"/>
    </row>
    <row r="31" spans="1:21" s="293" customFormat="1" ht="45" customHeight="1" x14ac:dyDescent="0.2">
      <c r="A31" s="279"/>
      <c r="B31" s="1204"/>
      <c r="C31" s="1236"/>
      <c r="D31" s="402" t="s">
        <v>11</v>
      </c>
      <c r="E31" s="512" t="str">
        <f>IF(VLOOKUP(CONCATENATE($C$3,"-",$D31),Languages!$A:$D,1,TRUE)=CONCATENATE($C$3,"-",$D31),VLOOKUP(CONCATENATE($C$3,"-",$D31),Languages!$A:$D,Summary!$C$7,TRUE),NA())</f>
        <v>Osoitettuja kyberturvallisuuden vastuita hallitaan siten, että varmistutaan niiden riittävyydestä ja riittävästä päällekkäisyydestä (mukaan lukien henkilöstönvaihdosten suunnittelu).</v>
      </c>
      <c r="F31" s="403">
        <f t="shared" si="0"/>
        <v>0</v>
      </c>
      <c r="G31" s="489"/>
      <c r="H31" s="484"/>
      <c r="I31" s="484"/>
      <c r="J31" s="484"/>
      <c r="K31" s="493"/>
      <c r="L31" s="157"/>
      <c r="M31" s="256"/>
      <c r="N31" s="152"/>
      <c r="O31" s="996" t="str">
        <f>VLOOKUP(VLOOKUP($C$3&amp;"-"&amp;$D31,Import!$C:$D,2,FALSE),Parameters!$C$18:$F$22,Summary!$C$7,FALSE)</f>
        <v xml:space="preserve">0 - Vastaus puuttuu </v>
      </c>
      <c r="P31" s="1024" t="str">
        <f>IF(VLOOKUP($C$3&amp;"-"&amp;$D31,Import!$C:$H,3,FALSE)=0,"",VLOOKUP($C$3&amp;"-"&amp;$D31,Import!$C:$H,3,FALSE))</f>
        <v/>
      </c>
      <c r="Q31" s="1024" t="str">
        <f>IF(VLOOKUP($C$3&amp;"-"&amp;$D31,Import!$C:$H,4,FALSE)=0,"",VLOOKUP($C$3&amp;"-"&amp;$D31,Import!$C:$H,4,FALSE))</f>
        <v/>
      </c>
      <c r="R31" s="1024" t="str">
        <f>IF(VLOOKUP($C$3&amp;"-"&amp;$D31,Import!$C:$H,5,FALSE)=0,"",VLOOKUP($C$3&amp;"-"&amp;$D31,Import!$C:$H,5,FALSE))</f>
        <v/>
      </c>
      <c r="S31" s="1025" t="str">
        <f>IF(VLOOKUP($C$3&amp;"-"&amp;$D31,Import!$C:$H,6,FALSE)=0,"",VLOOKUP($C$3&amp;"-"&amp;$D31,Import!$C:$H,6,FALSE))</f>
        <v/>
      </c>
      <c r="T31" s="157"/>
      <c r="U31" s="256"/>
    </row>
    <row r="32" spans="1:21" s="180" customFormat="1" ht="30" customHeight="1" x14ac:dyDescent="0.25">
      <c r="A32" s="169"/>
      <c r="B32" s="273"/>
      <c r="C32" s="173">
        <v>2</v>
      </c>
      <c r="D32" s="173" t="str">
        <f>IF(VLOOKUP(CONCATENATE($C$3,"-",C32),Languages!$A:$D,1,TRUE)=CONCATENATE($C$3,"-",C32),VLOOKUP(CONCATENATE($C$3,"-",C32),Languages!$A:$D,Summary!$C$7,TRUE),NA())</f>
        <v>Kyberturvallisuuteen keskittyvän henkilöstön kehittäminen</v>
      </c>
      <c r="E32" s="173"/>
      <c r="F32" s="296"/>
      <c r="G32" s="1006"/>
      <c r="H32" s="1030"/>
      <c r="I32" s="1030"/>
      <c r="J32" s="1030"/>
      <c r="K32" s="1030"/>
      <c r="L32" s="157"/>
      <c r="M32" s="256"/>
      <c r="N32" s="152"/>
      <c r="O32" s="296"/>
      <c r="P32" s="297"/>
      <c r="Q32" s="297"/>
      <c r="R32" s="297"/>
      <c r="S32" s="297"/>
      <c r="T32" s="157"/>
      <c r="U32" s="256"/>
    </row>
    <row r="33" spans="1:21" s="289" customFormat="1" ht="19.95" customHeight="1" x14ac:dyDescent="0.2">
      <c r="A33" s="308"/>
      <c r="B33" s="283"/>
      <c r="C33" s="284" t="str">
        <f>IF(VLOOKUP("GEN-LEVEL",Languages!$A:$D,1,TRUE)="GEN-LEVEL",VLOOKUP("GEN-LEVEL",Languages!$A:$D,Summary!$C$7,TRUE),NA())</f>
        <v>Taso</v>
      </c>
      <c r="D33" s="284"/>
      <c r="E33" s="285" t="str">
        <f>IF(VLOOKUP("GEN-PRACTICE",Languages!$A:$D,1,TRUE)="GEN-PRACTICE",VLOOKUP("GEN-PRACTICE",Languages!$A:$D,Summary!$C$7,TRUE),NA())</f>
        <v>Käytäntö</v>
      </c>
      <c r="F33" s="286"/>
      <c r="G33" s="1003" t="str">
        <f>IF(VLOOKUP("GEN-ANSWER",Languages!$A:$D,1,TRUE)="GEN-ANSWER",VLOOKUP("GEN-ANSWER",Languages!$A:$D,Summary!$C$7,TRUE),NA())</f>
        <v>Vastaus</v>
      </c>
      <c r="H33" s="1004" t="str">
        <f>IF(VLOOKUP("KM112",Languages!$A:$D,1,TRUE)="KM112",VLOOKUP("KM112",Languages!$A:$D,Summary!$C$7,TRUE),NA())</f>
        <v>Kommentit</v>
      </c>
      <c r="I33" s="1004" t="str">
        <f>IF(VLOOKUP("KM113",Languages!$A:$D,1,TRUE)="KM113",VLOOKUP("KM113",Languages!$A:$D,Summary!$C$7,TRUE),NA())</f>
        <v>Sisäinen viittaus</v>
      </c>
      <c r="J33" s="1004" t="str">
        <f>IF(VLOOKUP("KM114",Languages!$A:$D,1,TRUE)="KM114",VLOOKUP("KM114",Languages!$A:$D,Summary!$C$7,TRUE),NA())</f>
        <v>Ulkoinen viittaus</v>
      </c>
      <c r="K33" s="1004" t="str">
        <f>IF(VLOOKUP("KM115",Languages!$A:$D,1,TRUE)="KM115",VLOOKUP("KM115",Languages!$A:$D,Summary!$C$7,TRUE),NA())</f>
        <v>Kehityskohde</v>
      </c>
      <c r="L33" s="287"/>
      <c r="M33" s="288"/>
      <c r="N33" s="283"/>
      <c r="O33" s="503" t="str">
        <f>IF(VLOOKUP("GEN-ANSWER",Languages!$A:$D,1,TRUE)="GEN-ANSWER",VLOOKUP("GEN-ANSWER",Languages!$A:$D,Summary!$C$7,TRUE),NA())</f>
        <v>Vastaus</v>
      </c>
      <c r="P33" s="503" t="str">
        <f>IF(VLOOKUP("KM112",Languages!$A:$D,1,TRUE)="KM112",VLOOKUP("KM112",Languages!$A:$D,Summary!$C$7,TRUE),NA())</f>
        <v>Kommentit</v>
      </c>
      <c r="Q33" s="503" t="str">
        <f>IF(VLOOKUP("KM113",Languages!$A:$D,1,TRUE)="KM113",VLOOKUP("KM113",Languages!$A:$D,Summary!$C$7,TRUE),NA())</f>
        <v>Sisäinen viittaus</v>
      </c>
      <c r="R33" s="503" t="str">
        <f>IF(VLOOKUP("KM114",Languages!$A:$D,1,TRUE)="KM114",VLOOKUP("KM114",Languages!$A:$D,Summary!$C$7,TRUE),NA())</f>
        <v>Ulkoinen viittaus</v>
      </c>
      <c r="S33" s="503" t="str">
        <f>IF(VLOOKUP("KM115",Languages!$A:$D,1,TRUE)="KM115",VLOOKUP("KM115",Languages!$A:$D,Summary!$C$7,TRUE),NA())</f>
        <v>Kehityskohde</v>
      </c>
      <c r="T33" s="287"/>
      <c r="U33" s="288"/>
    </row>
    <row r="34" spans="1:21" s="300" customFormat="1" ht="45" customHeight="1" x14ac:dyDescent="0.2">
      <c r="A34" s="309"/>
      <c r="B34" s="1213"/>
      <c r="C34" s="1229">
        <v>1</v>
      </c>
      <c r="D34" s="406" t="s">
        <v>17</v>
      </c>
      <c r="E34" s="507" t="str">
        <f>IF(VLOOKUP(CONCATENATE($C$3,"-",$D34),Languages!$A:$D,1,TRUE)=CONCATENATE($C$3,"-",$D34),VLOOKUP(CONCATENATE($C$3,"-",$D34),Languages!$A:$D,Summary!$C$7,TRUE),NA())</f>
        <v>Kyberturvallisuuskoulutusta on saatavana sellaisille työntekijöille, joille on osoitettu kyberturvallisuuteen liittyviä vastuita. Tasolla 1 tämän ei tarvitse olla systemaattista ja säännöllistä.</v>
      </c>
      <c r="F34" s="396">
        <f t="shared" ref="F34:F39" si="1">IFERROR(INT(LEFT($G34,1)),0)</f>
        <v>0</v>
      </c>
      <c r="G34" s="485"/>
      <c r="H34" s="486"/>
      <c r="I34" s="486"/>
      <c r="J34" s="486"/>
      <c r="K34" s="487"/>
      <c r="L34" s="157"/>
      <c r="M34" s="256"/>
      <c r="N34" s="152"/>
      <c r="O34" s="988" t="str">
        <f>VLOOKUP(VLOOKUP($C$3&amp;"-"&amp;$D34,Import!$C:$D,2,FALSE),Parameters!$C$18:$F$22,Summary!$C$7,FALSE)</f>
        <v xml:space="preserve">0 - Vastaus puuttuu </v>
      </c>
      <c r="P34" s="1032" t="str">
        <f>IF(VLOOKUP($C$3&amp;"-"&amp;$D34,Import!$C:$H,3,FALSE)=0,"",VLOOKUP($C$3&amp;"-"&amp;$D34,Import!$C:$H,3,FALSE))</f>
        <v/>
      </c>
      <c r="Q34" s="1032" t="str">
        <f>IF(VLOOKUP($C$3&amp;"-"&amp;$D34,Import!$C:$H,4,FALSE)=0,"",VLOOKUP($C$3&amp;"-"&amp;$D34,Import!$C:$H,4,FALSE))</f>
        <v/>
      </c>
      <c r="R34" s="1032" t="str">
        <f>IF(VLOOKUP($C$3&amp;"-"&amp;$D34,Import!$C:$H,5,FALSE)=0,"",VLOOKUP($C$3&amp;"-"&amp;$D34,Import!$C:$H,5,FALSE))</f>
        <v/>
      </c>
      <c r="S34" s="1033" t="str">
        <f>IF(VLOOKUP($C$3&amp;"-"&amp;$D34,Import!$C:$H,6,FALSE)=0,"",VLOOKUP($C$3&amp;"-"&amp;$D34,Import!$C:$H,6,FALSE))</f>
        <v/>
      </c>
      <c r="T34" s="157"/>
      <c r="U34" s="256"/>
    </row>
    <row r="35" spans="1:21" s="300" customFormat="1" ht="60" customHeight="1" x14ac:dyDescent="0.2">
      <c r="A35" s="309"/>
      <c r="B35" s="1213"/>
      <c r="C35" s="1230"/>
      <c r="D35" s="407" t="s">
        <v>18</v>
      </c>
      <c r="E35" s="514" t="str">
        <f>IF(VLOOKUP(CONCATENATE($C$3,"-",$D35),Languages!$A:$D,1,TRUE)=CONCATENATE($C$3,"-",$D35),VLOOKUP(CONCATENATE($C$3,"-",$D35),Languages!$A:$D,Summary!$C$7,TRUE),NA())</f>
        <v>Kyberturvallisuuteen liittyvien tietojen, taitojen ja kykyjen vaatimukset ja niissä mahdollisesti ilmenevät puutteet on tunnistettu sekä nykyiset että tulevat tarpeet huomioiden. Tasolla 1 tämän ei tarvitse olla systemaattista ja säännöllistä.</v>
      </c>
      <c r="F35" s="403">
        <f t="shared" si="1"/>
        <v>0</v>
      </c>
      <c r="G35" s="489"/>
      <c r="H35" s="484"/>
      <c r="I35" s="484"/>
      <c r="J35" s="484"/>
      <c r="K35" s="493"/>
      <c r="L35" s="157"/>
      <c r="M35" s="256"/>
      <c r="N35" s="152"/>
      <c r="O35" s="996" t="str">
        <f>VLOOKUP(VLOOKUP($C$3&amp;"-"&amp;$D35,Import!$C:$D,2,FALSE),Parameters!$C$18:$F$22,Summary!$C$7,FALSE)</f>
        <v xml:space="preserve">0 - Vastaus puuttuu </v>
      </c>
      <c r="P35" s="1024" t="str">
        <f>IF(VLOOKUP($C$3&amp;"-"&amp;$D35,Import!$C:$H,3,FALSE)=0,"",VLOOKUP($C$3&amp;"-"&amp;$D35,Import!$C:$H,3,FALSE))</f>
        <v/>
      </c>
      <c r="Q35" s="1024" t="str">
        <f>IF(VLOOKUP($C$3&amp;"-"&amp;$D35,Import!$C:$H,4,FALSE)=0,"",VLOOKUP($C$3&amp;"-"&amp;$D35,Import!$C:$H,4,FALSE))</f>
        <v/>
      </c>
      <c r="R35" s="1024" t="str">
        <f>IF(VLOOKUP($C$3&amp;"-"&amp;$D35,Import!$C:$H,5,FALSE)=0,"",VLOOKUP($C$3&amp;"-"&amp;$D35,Import!$C:$H,5,FALSE))</f>
        <v/>
      </c>
      <c r="S35" s="1025" t="str">
        <f>IF(VLOOKUP($C$3&amp;"-"&amp;$D35,Import!$C:$H,6,FALSE)=0,"",VLOOKUP($C$3&amp;"-"&amp;$D35,Import!$C:$H,6,FALSE))</f>
        <v/>
      </c>
      <c r="T35" s="157"/>
      <c r="U35" s="256"/>
    </row>
    <row r="36" spans="1:21" s="300" customFormat="1" ht="45" customHeight="1" x14ac:dyDescent="0.2">
      <c r="A36" s="309"/>
      <c r="B36" s="301"/>
      <c r="C36" s="1224">
        <v>2</v>
      </c>
      <c r="D36" s="406" t="s">
        <v>19</v>
      </c>
      <c r="E36" s="507" t="str">
        <f>IF(VLOOKUP(CONCATENATE($C$3,"-",$D36),Languages!$A:$D,1,TRUE)=CONCATENATE($C$3,"-",$D36),VLOOKUP(CONCATENATE($C$3,"-",$D36),Languages!$A:$D,Summary!$C$7,TRUE),NA())</f>
        <v>Henkilöstön kouluttamiseen, rekrytointiin ja vaihtuvuuteen liittyvät toimet ovat linjassa keskenään siten, että havaittuihin henkilöstö- tai osaamispuutteisiin voidaan kohdistaa toimia.</v>
      </c>
      <c r="F36" s="396">
        <f t="shared" si="1"/>
        <v>0</v>
      </c>
      <c r="G36" s="485"/>
      <c r="H36" s="482"/>
      <c r="I36" s="482"/>
      <c r="J36" s="482"/>
      <c r="K36" s="491"/>
      <c r="L36" s="157"/>
      <c r="M36" s="256"/>
      <c r="N36" s="152"/>
      <c r="O36" s="988" t="str">
        <f>VLOOKUP(VLOOKUP($C$3&amp;"-"&amp;$D36,Import!$C:$D,2,FALSE),Parameters!$C$18:$F$22,Summary!$C$7,FALSE)</f>
        <v xml:space="preserve">0 - Vastaus puuttuu </v>
      </c>
      <c r="P36" s="1022" t="str">
        <f>IF(VLOOKUP($C$3&amp;"-"&amp;$D36,Import!$C:$H,3,FALSE)=0,"",VLOOKUP($C$3&amp;"-"&amp;$D36,Import!$C:$H,3,FALSE))</f>
        <v/>
      </c>
      <c r="Q36" s="1022" t="str">
        <f>IF(VLOOKUP($C$3&amp;"-"&amp;$D36,Import!$C:$H,4,FALSE)=0,"",VLOOKUP($C$3&amp;"-"&amp;$D36,Import!$C:$H,4,FALSE))</f>
        <v/>
      </c>
      <c r="R36" s="1022" t="str">
        <f>IF(VLOOKUP($C$3&amp;"-"&amp;$D36,Import!$C:$H,5,FALSE)=0,"",VLOOKUP($C$3&amp;"-"&amp;$D36,Import!$C:$H,5,FALSE))</f>
        <v/>
      </c>
      <c r="S36" s="1023" t="str">
        <f>IF(VLOOKUP($C$3&amp;"-"&amp;$D36,Import!$C:$H,6,FALSE)=0,"",VLOOKUP($C$3&amp;"-"&amp;$D36,Import!$C:$H,6,FALSE))</f>
        <v/>
      </c>
      <c r="T36" s="157"/>
      <c r="U36" s="256"/>
    </row>
    <row r="37" spans="1:21" s="300" customFormat="1" ht="45" customHeight="1" x14ac:dyDescent="0.2">
      <c r="A37" s="309"/>
      <c r="B37" s="301"/>
      <c r="C37" s="1225"/>
      <c r="D37" s="407" t="s">
        <v>20</v>
      </c>
      <c r="E37" s="514" t="str">
        <f>IF(VLOOKUP(CONCATENATE($C$3,"-",$D37),Languages!$A:$D,1,TRUE)=CONCATENATE($C$3,"-",$D37),VLOOKUP(CONCATENATE($C$3,"-",$D37),Languages!$A:$D,Summary!$C$7,TRUE),NA())</f>
        <v>Kyberturvallisuuskoulutus on edellytyksenä käyttö- tai pääsyoikeuksien myöntämiselle toiminnon kannalta tärkeisiin laitteisiin, ohjelmistoihin ja tietovarantoihin.</v>
      </c>
      <c r="F37" s="403">
        <f t="shared" si="1"/>
        <v>0</v>
      </c>
      <c r="G37" s="489"/>
      <c r="H37" s="484"/>
      <c r="I37" s="484"/>
      <c r="J37" s="484"/>
      <c r="K37" s="493"/>
      <c r="L37" s="157"/>
      <c r="M37" s="256"/>
      <c r="N37" s="152"/>
      <c r="O37" s="996" t="str">
        <f>VLOOKUP(VLOOKUP($C$3&amp;"-"&amp;$D37,Import!$C:$D,2,FALSE),Parameters!$C$18:$F$22,Summary!$C$7,FALSE)</f>
        <v xml:space="preserve">0 - Vastaus puuttuu </v>
      </c>
      <c r="P37" s="1024" t="str">
        <f>IF(VLOOKUP($C$3&amp;"-"&amp;$D37,Import!$C:$H,3,FALSE)=0,"",VLOOKUP($C$3&amp;"-"&amp;$D37,Import!$C:$H,3,FALSE))</f>
        <v/>
      </c>
      <c r="Q37" s="1024" t="str">
        <f>IF(VLOOKUP($C$3&amp;"-"&amp;$D37,Import!$C:$H,4,FALSE)=0,"",VLOOKUP($C$3&amp;"-"&amp;$D37,Import!$C:$H,4,FALSE))</f>
        <v/>
      </c>
      <c r="R37" s="1024" t="str">
        <f>IF(VLOOKUP($C$3&amp;"-"&amp;$D37,Import!$C:$H,5,FALSE)=0,"",VLOOKUP($C$3&amp;"-"&amp;$D37,Import!$C:$H,5,FALSE))</f>
        <v/>
      </c>
      <c r="S37" s="1025" t="str">
        <f>IF(VLOOKUP($C$3&amp;"-"&amp;$D37,Import!$C:$H,6,FALSE)=0,"",VLOOKUP($C$3&amp;"-"&amp;$D37,Import!$C:$H,6,FALSE))</f>
        <v/>
      </c>
      <c r="T37" s="157"/>
      <c r="U37" s="256"/>
    </row>
    <row r="38" spans="1:21" s="300" customFormat="1" ht="34.950000000000003" customHeight="1" x14ac:dyDescent="0.2">
      <c r="A38" s="309"/>
      <c r="B38" s="301"/>
      <c r="C38" s="1226">
        <v>3</v>
      </c>
      <c r="D38" s="406" t="s">
        <v>21</v>
      </c>
      <c r="E38" s="507" t="str">
        <f>IF(VLOOKUP(CONCATENATE($C$3,"-",$D38),Languages!$A:$D,1,TRUE)=CONCATENATE($C$3,"-",$D38),VLOOKUP(CONCATENATE($C$3,"-",$D38),Languages!$A:$D,Summary!$C$7,TRUE),NA())</f>
        <v>Koulutustoiminnan tehokkuutta arvioidaan aika ajoin ja koulutusta kehitetään tarpeen mukaan.</v>
      </c>
      <c r="F38" s="396">
        <f t="shared" si="1"/>
        <v>0</v>
      </c>
      <c r="G38" s="485"/>
      <c r="H38" s="482"/>
      <c r="I38" s="482"/>
      <c r="J38" s="482"/>
      <c r="K38" s="491"/>
      <c r="L38" s="157"/>
      <c r="M38" s="256"/>
      <c r="N38" s="152"/>
      <c r="O38" s="988" t="str">
        <f>VLOOKUP(VLOOKUP($C$3&amp;"-"&amp;$D38,Import!$C:$D,2,FALSE),Parameters!$C$18:$F$22,Summary!$C$7,FALSE)</f>
        <v xml:space="preserve">0 - Vastaus puuttuu </v>
      </c>
      <c r="P38" s="1022" t="str">
        <f>IF(VLOOKUP($C$3&amp;"-"&amp;$D38,Import!$C:$H,3,FALSE)=0,"",VLOOKUP($C$3&amp;"-"&amp;$D38,Import!$C:$H,3,FALSE))</f>
        <v/>
      </c>
      <c r="Q38" s="1022" t="str">
        <f>IF(VLOOKUP($C$3&amp;"-"&amp;$D38,Import!$C:$H,4,FALSE)=0,"",VLOOKUP($C$3&amp;"-"&amp;$D38,Import!$C:$H,4,FALSE))</f>
        <v/>
      </c>
      <c r="R38" s="1022" t="str">
        <f>IF(VLOOKUP($C$3&amp;"-"&amp;$D38,Import!$C:$H,5,FALSE)=0,"",VLOOKUP($C$3&amp;"-"&amp;$D38,Import!$C:$H,5,FALSE))</f>
        <v/>
      </c>
      <c r="S38" s="1023" t="str">
        <f>IF(VLOOKUP($C$3&amp;"-"&amp;$D38,Import!$C:$H,6,FALSE)=0,"",VLOOKUP($C$3&amp;"-"&amp;$D38,Import!$C:$H,6,FALSE))</f>
        <v/>
      </c>
      <c r="T38" s="157"/>
      <c r="U38" s="256"/>
    </row>
    <row r="39" spans="1:21" s="300" customFormat="1" ht="43.95" customHeight="1" x14ac:dyDescent="0.2">
      <c r="A39" s="309"/>
      <c r="B39" s="301"/>
      <c r="C39" s="1227"/>
      <c r="D39" s="407" t="s">
        <v>109</v>
      </c>
      <c r="E39" s="514" t="str">
        <f>IF(VLOOKUP(CONCATENATE($C$3,"-",$D39),Languages!$A:$D,1,TRUE)=CONCATENATE($C$3,"-",$D39),VLOOKUP(CONCATENATE($C$3,"-",$D39),Languages!$A:$D,Summary!$C$7,TRUE),NA())</f>
        <v>Koulutusohjelmiin sisältyy mahdollisuus jatko- ja lisäkoulutukseen niille työntekijöille, joilla on merkittäviä kyberturvallisuuteen liittyviä vastuita.</v>
      </c>
      <c r="F39" s="403">
        <f t="shared" si="1"/>
        <v>0</v>
      </c>
      <c r="G39" s="489"/>
      <c r="H39" s="484"/>
      <c r="I39" s="484"/>
      <c r="J39" s="484"/>
      <c r="K39" s="493"/>
      <c r="L39" s="157"/>
      <c r="M39" s="256"/>
      <c r="N39" s="152"/>
      <c r="O39" s="996" t="str">
        <f>VLOOKUP(VLOOKUP($C$3&amp;"-"&amp;$D39,Import!$C:$D,2,FALSE),Parameters!$C$18:$F$22,Summary!$C$7,FALSE)</f>
        <v xml:space="preserve">0 - Vastaus puuttuu </v>
      </c>
      <c r="P39" s="1024" t="str">
        <f>IF(VLOOKUP($C$3&amp;"-"&amp;$D39,Import!$C:$H,3,FALSE)=0,"",VLOOKUP($C$3&amp;"-"&amp;$D39,Import!$C:$H,3,FALSE))</f>
        <v/>
      </c>
      <c r="Q39" s="1024" t="str">
        <f>IF(VLOOKUP($C$3&amp;"-"&amp;$D39,Import!$C:$H,4,FALSE)=0,"",VLOOKUP($C$3&amp;"-"&amp;$D39,Import!$C:$H,4,FALSE))</f>
        <v/>
      </c>
      <c r="R39" s="1024" t="str">
        <f>IF(VLOOKUP($C$3&amp;"-"&amp;$D39,Import!$C:$H,5,FALSE)=0,"",VLOOKUP($C$3&amp;"-"&amp;$D39,Import!$C:$H,5,FALSE))</f>
        <v/>
      </c>
      <c r="S39" s="1025" t="str">
        <f>IF(VLOOKUP($C$3&amp;"-"&amp;$D39,Import!$C:$H,6,FALSE)=0,"",VLOOKUP($C$3&amp;"-"&amp;$D39,Import!$C:$H,6,FALSE))</f>
        <v/>
      </c>
      <c r="T39" s="157"/>
      <c r="U39" s="256"/>
    </row>
    <row r="40" spans="1:21" s="180" customFormat="1" ht="30" customHeight="1" x14ac:dyDescent="0.25">
      <c r="A40" s="169"/>
      <c r="B40" s="273"/>
      <c r="C40" s="173">
        <v>3</v>
      </c>
      <c r="D40" s="173" t="str">
        <f>IF(VLOOKUP(CONCATENATE($C$3,"-",C40),Languages!$A:$D,1,TRUE)=CONCATENATE($C$3,"-",C40),VLOOKUP(CONCATENATE($C$3,"-",C40),Languages!$A:$D,Summary!$C$7,TRUE),NA())</f>
        <v>Henkilöstöhallinnon prosessit</v>
      </c>
      <c r="E40" s="173"/>
      <c r="F40" s="296"/>
      <c r="G40" s="1006"/>
      <c r="H40" s="1030"/>
      <c r="I40" s="1030"/>
      <c r="J40" s="1030"/>
      <c r="K40" s="1030"/>
      <c r="L40" s="157"/>
      <c r="M40" s="256"/>
      <c r="N40" s="152"/>
      <c r="O40" s="296"/>
      <c r="P40" s="297"/>
      <c r="Q40" s="297"/>
      <c r="R40" s="297"/>
      <c r="S40" s="297"/>
      <c r="T40" s="157"/>
      <c r="U40" s="256"/>
    </row>
    <row r="41" spans="1:21" s="289" customFormat="1" ht="19.95" customHeight="1" x14ac:dyDescent="0.2">
      <c r="A41" s="308"/>
      <c r="B41" s="283"/>
      <c r="C41" s="284" t="str">
        <f>IF(VLOOKUP("GEN-LEVEL",Languages!$A:$D,1,TRUE)="GEN-LEVEL",VLOOKUP("GEN-LEVEL",Languages!$A:$D,Summary!$C$7,TRUE),NA())</f>
        <v>Taso</v>
      </c>
      <c r="D41" s="284"/>
      <c r="E41" s="285" t="str">
        <f>IF(VLOOKUP("GEN-PRACTICE",Languages!$A:$D,1,TRUE)="GEN-PRACTICE",VLOOKUP("GEN-PRACTICE",Languages!$A:$D,Summary!$C$7,TRUE),NA())</f>
        <v>Käytäntö</v>
      </c>
      <c r="F41" s="286"/>
      <c r="G41" s="1003" t="str">
        <f>IF(VLOOKUP("GEN-ANSWER",Languages!$A:$D,1,TRUE)="GEN-ANSWER",VLOOKUP("GEN-ANSWER",Languages!$A:$D,Summary!$C$7,TRUE),NA())</f>
        <v>Vastaus</v>
      </c>
      <c r="H41" s="1004" t="str">
        <f>IF(VLOOKUP("KM112",Languages!$A:$D,1,TRUE)="KM112",VLOOKUP("KM112",Languages!$A:$D,Summary!$C$7,TRUE),NA())</f>
        <v>Kommentit</v>
      </c>
      <c r="I41" s="1004" t="str">
        <f>IF(VLOOKUP("KM113",Languages!$A:$D,1,TRUE)="KM113",VLOOKUP("KM113",Languages!$A:$D,Summary!$C$7,TRUE),NA())</f>
        <v>Sisäinen viittaus</v>
      </c>
      <c r="J41" s="1004" t="str">
        <f>IF(VLOOKUP("KM114",Languages!$A:$D,1,TRUE)="KM114",VLOOKUP("KM114",Languages!$A:$D,Summary!$C$7,TRUE),NA())</f>
        <v>Ulkoinen viittaus</v>
      </c>
      <c r="K41" s="1004" t="str">
        <f>IF(VLOOKUP("KM115",Languages!$A:$D,1,TRUE)="KM115",VLOOKUP("KM115",Languages!$A:$D,Summary!$C$7,TRUE),NA())</f>
        <v>Kehityskohde</v>
      </c>
      <c r="L41" s="287"/>
      <c r="M41" s="288"/>
      <c r="N41" s="283"/>
      <c r="O41" s="503" t="str">
        <f>IF(VLOOKUP("GEN-ANSWER",Languages!$A:$D,1,TRUE)="GEN-ANSWER",VLOOKUP("GEN-ANSWER",Languages!$A:$D,Summary!$C$7,TRUE),NA())</f>
        <v>Vastaus</v>
      </c>
      <c r="P41" s="503" t="str">
        <f>IF(VLOOKUP("KM112",Languages!$A:$D,1,TRUE)="KM112",VLOOKUP("KM112",Languages!$A:$D,Summary!$C$7,TRUE),NA())</f>
        <v>Kommentit</v>
      </c>
      <c r="Q41" s="503" t="str">
        <f>IF(VLOOKUP("KM113",Languages!$A:$D,1,TRUE)="KM113",VLOOKUP("KM113",Languages!$A:$D,Summary!$C$7,TRUE),NA())</f>
        <v>Sisäinen viittaus</v>
      </c>
      <c r="R41" s="503" t="str">
        <f>IF(VLOOKUP("KM114",Languages!$A:$D,1,TRUE)="KM114",VLOOKUP("KM114",Languages!$A:$D,Summary!$C$7,TRUE),NA())</f>
        <v>Ulkoinen viittaus</v>
      </c>
      <c r="S41" s="503" t="str">
        <f>IF(VLOOKUP("KM115",Languages!$A:$D,1,TRUE)="KM115",VLOOKUP("KM115",Languages!$A:$D,Summary!$C$7,TRUE),NA())</f>
        <v>Kehityskohde</v>
      </c>
      <c r="T41" s="287"/>
      <c r="U41" s="288"/>
    </row>
    <row r="42" spans="1:21" s="300" customFormat="1" ht="45" customHeight="1" x14ac:dyDescent="0.2">
      <c r="A42" s="309"/>
      <c r="B42" s="301"/>
      <c r="C42" s="1229">
        <v>1</v>
      </c>
      <c r="D42" s="406" t="s">
        <v>22</v>
      </c>
      <c r="E42" s="507" t="str">
        <f>IF(VLOOKUP(CONCATENATE($C$3,"-",$D42),Languages!$A:$D,1,TRUE)=CONCATENATE($C$3,"-",$D42),VLOOKUP(CONCATENATE($C$3,"-",$D42),Languages!$A:$D,Summary!$C$7,TRUE),NA())</f>
        <v>Erilaisia tarkastuksia (esimerkiksi taustojen tarkistuksia, huumetestejä) suoritetaan uusia työntekijöitä palkatessa. Tasolla 1 tämän ei tarvitse olla systemaattista ja säännöllistä.</v>
      </c>
      <c r="F42" s="396">
        <f t="shared" ref="F42:F48" si="2">IFERROR(INT(LEFT($G42,1)),0)</f>
        <v>0</v>
      </c>
      <c r="G42" s="485"/>
      <c r="H42" s="482"/>
      <c r="I42" s="482"/>
      <c r="J42" s="482"/>
      <c r="K42" s="491"/>
      <c r="L42" s="157"/>
      <c r="M42" s="256"/>
      <c r="N42" s="152"/>
      <c r="O42" s="988" t="str">
        <f>VLOOKUP(VLOOKUP($C$3&amp;"-"&amp;$D42,Import!$C:$D,2,FALSE),Parameters!$C$18:$F$22,Summary!$C$7,FALSE)</f>
        <v xml:space="preserve">0 - Vastaus puuttuu </v>
      </c>
      <c r="P42" s="1022" t="str">
        <f>IF(VLOOKUP($C$3&amp;"-"&amp;$D42,Import!$C:$H,3,FALSE)=0,"",VLOOKUP($C$3&amp;"-"&amp;$D42,Import!$C:$H,3,FALSE))</f>
        <v/>
      </c>
      <c r="Q42" s="1022" t="str">
        <f>IF(VLOOKUP($C$3&amp;"-"&amp;$D42,Import!$C:$H,4,FALSE)=0,"",VLOOKUP($C$3&amp;"-"&amp;$D42,Import!$C:$H,4,FALSE))</f>
        <v/>
      </c>
      <c r="R42" s="1022" t="str">
        <f>IF(VLOOKUP($C$3&amp;"-"&amp;$D42,Import!$C:$H,5,FALSE)=0,"",VLOOKUP($C$3&amp;"-"&amp;$D42,Import!$C:$H,5,FALSE))</f>
        <v/>
      </c>
      <c r="S42" s="1023" t="str">
        <f>IF(VLOOKUP($C$3&amp;"-"&amp;$D42,Import!$C:$H,6,FALSE)=0,"",VLOOKUP($C$3&amp;"-"&amp;$D42,Import!$C:$H,6,FALSE))</f>
        <v/>
      </c>
      <c r="T42" s="157"/>
      <c r="U42" s="256"/>
    </row>
    <row r="43" spans="1:21" s="300" customFormat="1" ht="45" customHeight="1" x14ac:dyDescent="0.2">
      <c r="A43" s="309"/>
      <c r="B43" s="301"/>
      <c r="C43" s="1230"/>
      <c r="D43" s="407" t="s">
        <v>23</v>
      </c>
      <c r="E43" s="514" t="str">
        <f>IF(VLOOKUP(CONCATENATE($C$3,"-",$D43),Languages!$A:$D,1,TRUE)=CONCATENATE($C$3,"-",$D43),VLOOKUP(CONCATENATE($C$3,"-",$D43),Languages!$A:$D,Summary!$C$7,TRUE),NA())</f>
        <v>Työsuhteen päättymiseen liittyvissä menettelyissä huomioidaan kyberturvallisuus. Tasolla 1 tämän ei tarvitse olla systemaattista ja säännöllistä.</v>
      </c>
      <c r="F43" s="403">
        <f t="shared" si="2"/>
        <v>0</v>
      </c>
      <c r="G43" s="489"/>
      <c r="H43" s="484"/>
      <c r="I43" s="484"/>
      <c r="J43" s="484"/>
      <c r="K43" s="493"/>
      <c r="L43" s="157"/>
      <c r="M43" s="256"/>
      <c r="N43" s="152"/>
      <c r="O43" s="996" t="str">
        <f>VLOOKUP(VLOOKUP($C$3&amp;"-"&amp;$D43,Import!$C:$D,2,FALSE),Parameters!$C$18:$F$22,Summary!$C$7,FALSE)</f>
        <v xml:space="preserve">0 - Vastaus puuttuu </v>
      </c>
      <c r="P43" s="1024" t="str">
        <f>IF(VLOOKUP($C$3&amp;"-"&amp;$D43,Import!$C:$H,3,FALSE)=0,"",VLOOKUP($C$3&amp;"-"&amp;$D43,Import!$C:$H,3,FALSE))</f>
        <v/>
      </c>
      <c r="Q43" s="1024" t="str">
        <f>IF(VLOOKUP($C$3&amp;"-"&amp;$D43,Import!$C:$H,4,FALSE)=0,"",VLOOKUP($C$3&amp;"-"&amp;$D43,Import!$C:$H,4,FALSE))</f>
        <v/>
      </c>
      <c r="R43" s="1024" t="str">
        <f>IF(VLOOKUP($C$3&amp;"-"&amp;$D43,Import!$C:$H,5,FALSE)=0,"",VLOOKUP($C$3&amp;"-"&amp;$D43,Import!$C:$H,5,FALSE))</f>
        <v/>
      </c>
      <c r="S43" s="1025" t="str">
        <f>IF(VLOOKUP($C$3&amp;"-"&amp;$D43,Import!$C:$H,6,FALSE)=0,"",VLOOKUP($C$3&amp;"-"&amp;$D43,Import!$C:$H,6,FALSE))</f>
        <v/>
      </c>
      <c r="T43" s="157"/>
      <c r="U43" s="256"/>
    </row>
    <row r="44" spans="1:21" s="300" customFormat="1" ht="45" customHeight="1" x14ac:dyDescent="0.2">
      <c r="A44" s="309"/>
      <c r="B44" s="301"/>
      <c r="C44" s="1224">
        <v>2</v>
      </c>
      <c r="D44" s="406" t="s">
        <v>24</v>
      </c>
      <c r="E44" s="507" t="str">
        <f>IF(VLOOKUP(CONCATENATE($C$3,"-",$D44),Languages!$A:$D,1,TRUE)=CONCATENATE($C$3,"-",$D44),VLOOKUP(CONCATENATE($C$3,"-",$D44),Languages!$A:$D,Summary!$C$7,TRUE),NA())</f>
        <v>Erilaisia tarkastuksia suoritetaan sellaisille työntekijöille, joilla on käyttö- tai pääsyoikeus toiminnon kannalta tärkeisiin laitteisiin, ohjelmistoihin tai tietovarantoihin.</v>
      </c>
      <c r="F44" s="396">
        <f t="shared" si="2"/>
        <v>0</v>
      </c>
      <c r="G44" s="485"/>
      <c r="H44" s="482"/>
      <c r="I44" s="482"/>
      <c r="J44" s="482"/>
      <c r="K44" s="491"/>
      <c r="L44" s="157"/>
      <c r="M44" s="256"/>
      <c r="N44" s="152"/>
      <c r="O44" s="988" t="str">
        <f>VLOOKUP(VLOOKUP($C$3&amp;"-"&amp;$D44,Import!$C:$D,2,FALSE),Parameters!$C$18:$F$22,Summary!$C$7,FALSE)</f>
        <v xml:space="preserve">0 - Vastaus puuttuu </v>
      </c>
      <c r="P44" s="1022" t="str">
        <f>IF(VLOOKUP($C$3&amp;"-"&amp;$D44,Import!$C:$H,3,FALSE)=0,"",VLOOKUP($C$3&amp;"-"&amp;$D44,Import!$C:$H,3,FALSE))</f>
        <v/>
      </c>
      <c r="Q44" s="1022" t="str">
        <f>IF(VLOOKUP($C$3&amp;"-"&amp;$D44,Import!$C:$H,4,FALSE)=0,"",VLOOKUP($C$3&amp;"-"&amp;$D44,Import!$C:$H,4,FALSE))</f>
        <v/>
      </c>
      <c r="R44" s="1022" t="str">
        <f>IF(VLOOKUP($C$3&amp;"-"&amp;$D44,Import!$C:$H,5,FALSE)=0,"",VLOOKUP($C$3&amp;"-"&amp;$D44,Import!$C:$H,5,FALSE))</f>
        <v/>
      </c>
      <c r="S44" s="1023" t="str">
        <f>IF(VLOOKUP($C$3&amp;"-"&amp;$D44,Import!$C:$H,6,FALSE)=0,"",VLOOKUP($C$3&amp;"-"&amp;$D44,Import!$C:$H,6,FALSE))</f>
        <v/>
      </c>
      <c r="T44" s="157"/>
      <c r="U44" s="256"/>
    </row>
    <row r="45" spans="1:21" s="300" customFormat="1" ht="34.950000000000003" customHeight="1" x14ac:dyDescent="0.2">
      <c r="A45" s="309"/>
      <c r="B45" s="301"/>
      <c r="C45" s="1237"/>
      <c r="D45" s="298" t="s">
        <v>25</v>
      </c>
      <c r="E45" s="508" t="str">
        <f>IF(VLOOKUP(CONCATENATE($C$3,"-",$D45),Languages!$A:$D,1,TRUE)=CONCATENATE($C$3,"-",$D45),VLOOKUP(CONCATENATE($C$3,"-",$D45),Languages!$A:$D,Summary!$C$7,TRUE),NA())</f>
        <v>Työntekijöiden sisäisiin siirtoihin liittyvissä menettelyissä huomioidaan kyberturvallisuus.</v>
      </c>
      <c r="F45" s="291">
        <f t="shared" si="2"/>
        <v>0</v>
      </c>
      <c r="G45" s="311"/>
      <c r="H45" s="483"/>
      <c r="I45" s="483"/>
      <c r="J45" s="483"/>
      <c r="K45" s="492"/>
      <c r="L45" s="157"/>
      <c r="M45" s="256"/>
      <c r="N45" s="152"/>
      <c r="O45" s="991" t="str">
        <f>VLOOKUP(VLOOKUP($C$3&amp;"-"&amp;$D45,Import!$C:$D,2,FALSE),Parameters!$C$18:$F$22,Summary!$C$7,FALSE)</f>
        <v xml:space="preserve">0 - Vastaus puuttuu </v>
      </c>
      <c r="P45" s="1017" t="str">
        <f>IF(VLOOKUP($C$3&amp;"-"&amp;$D45,Import!$C:$H,3,FALSE)=0,"",VLOOKUP($C$3&amp;"-"&amp;$D45,Import!$C:$H,3,FALSE))</f>
        <v/>
      </c>
      <c r="Q45" s="1017" t="str">
        <f>IF(VLOOKUP($C$3&amp;"-"&amp;$D45,Import!$C:$H,4,FALSE)=0,"",VLOOKUP($C$3&amp;"-"&amp;$D45,Import!$C:$H,4,FALSE))</f>
        <v/>
      </c>
      <c r="R45" s="1017" t="str">
        <f>IF(VLOOKUP($C$3&amp;"-"&amp;$D45,Import!$C:$H,5,FALSE)=0,"",VLOOKUP($C$3&amp;"-"&amp;$D45,Import!$C:$H,5,FALSE))</f>
        <v/>
      </c>
      <c r="S45" s="1018" t="str">
        <f>IF(VLOOKUP($C$3&amp;"-"&amp;$D45,Import!$C:$H,6,FALSE)=0,"",VLOOKUP($C$3&amp;"-"&amp;$D45,Import!$C:$H,6,FALSE))</f>
        <v/>
      </c>
      <c r="T45" s="157"/>
      <c r="U45" s="256"/>
    </row>
    <row r="46" spans="1:21" s="300" customFormat="1" ht="40.799999999999997" customHeight="1" x14ac:dyDescent="0.2">
      <c r="A46" s="309"/>
      <c r="B46" s="301"/>
      <c r="C46" s="1225"/>
      <c r="D46" s="407" t="s">
        <v>26</v>
      </c>
      <c r="E46" s="514" t="str">
        <f>IF(VLOOKUP(CONCATENATE($C$3,"-",$D46),Languages!$A:$D,1,TRUE)=CONCATENATE($C$3,"-",$D46),VLOOKUP(CONCATENATE($C$3,"-",$D46),Languages!$A:$D,Summary!$C$7,TRUE),NA())</f>
        <v>Käyttäjät ovat tietoisia vastuistaan liittyen laitteiden, ohjelmistojen ja tietovarantojen suojaamiseen ja hyväksyttyyn käyttöön.</v>
      </c>
      <c r="F46" s="403">
        <f t="shared" si="2"/>
        <v>0</v>
      </c>
      <c r="G46" s="489"/>
      <c r="H46" s="484"/>
      <c r="I46" s="484"/>
      <c r="J46" s="484"/>
      <c r="K46" s="493"/>
      <c r="L46" s="157"/>
      <c r="M46" s="256"/>
      <c r="N46" s="152"/>
      <c r="O46" s="996" t="str">
        <f>VLOOKUP(VLOOKUP($C$3&amp;"-"&amp;$D46,Import!$C:$D,2,FALSE),Parameters!$C$18:$F$22,Summary!$C$7,FALSE)</f>
        <v xml:space="preserve">0 - Vastaus puuttuu </v>
      </c>
      <c r="P46" s="1024" t="str">
        <f>IF(VLOOKUP($C$3&amp;"-"&amp;$D46,Import!$C:$H,3,FALSE)=0,"",VLOOKUP($C$3&amp;"-"&amp;$D46,Import!$C:$H,3,FALSE))</f>
        <v/>
      </c>
      <c r="Q46" s="1024" t="str">
        <f>IF(VLOOKUP($C$3&amp;"-"&amp;$D46,Import!$C:$H,4,FALSE)=0,"",VLOOKUP($C$3&amp;"-"&amp;$D46,Import!$C:$H,4,FALSE))</f>
        <v/>
      </c>
      <c r="R46" s="1024" t="str">
        <f>IF(VLOOKUP($C$3&amp;"-"&amp;$D46,Import!$C:$H,5,FALSE)=0,"",VLOOKUP($C$3&amp;"-"&amp;$D46,Import!$C:$H,5,FALSE))</f>
        <v/>
      </c>
      <c r="S46" s="1025" t="str">
        <f>IF(VLOOKUP($C$3&amp;"-"&amp;$D46,Import!$C:$H,6,FALSE)=0,"",VLOOKUP($C$3&amp;"-"&amp;$D46,Import!$C:$H,6,FALSE))</f>
        <v/>
      </c>
      <c r="T46" s="157"/>
      <c r="U46" s="256"/>
    </row>
    <row r="47" spans="1:21" s="300" customFormat="1" ht="45" customHeight="1" x14ac:dyDescent="0.2">
      <c r="A47" s="309"/>
      <c r="B47" s="301"/>
      <c r="C47" s="1226">
        <v>3</v>
      </c>
      <c r="D47" s="406" t="s">
        <v>27</v>
      </c>
      <c r="E47" s="507" t="str">
        <f>IF(VLOOKUP(CONCATENATE($C$3,"-",$D47),Languages!$A:$D,1,TRUE)=CONCATENATE($C$3,"-",$D47),VLOOKUP(CONCATENATE($C$3,"-",$D47),Languages!$A:$D,Summary!$C$7,TRUE),NA())</f>
        <v>Jokaista työtehtävää varten teetetään soveltuvat tarkistukset, jotka ovat suhteessa työtehtävän riskeihin (mukaan lukien työntekijät, toimittajat ja alihankkijat).</v>
      </c>
      <c r="F47" s="396">
        <f t="shared" si="2"/>
        <v>0</v>
      </c>
      <c r="G47" s="485"/>
      <c r="H47" s="482"/>
      <c r="I47" s="482"/>
      <c r="J47" s="482"/>
      <c r="K47" s="491"/>
      <c r="L47" s="157"/>
      <c r="M47" s="256"/>
      <c r="N47" s="152"/>
      <c r="O47" s="988" t="str">
        <f>VLOOKUP(VLOOKUP($C$3&amp;"-"&amp;$D47,Import!$C:$D,2,FALSE),Parameters!$C$18:$F$22,Summary!$C$7,FALSE)</f>
        <v xml:space="preserve">0 - Vastaus puuttuu </v>
      </c>
      <c r="P47" s="1022" t="str">
        <f>IF(VLOOKUP($C$3&amp;"-"&amp;$D47,Import!$C:$H,3,FALSE)=0,"",VLOOKUP($C$3&amp;"-"&amp;$D47,Import!$C:$H,3,FALSE))</f>
        <v/>
      </c>
      <c r="Q47" s="1022" t="str">
        <f>IF(VLOOKUP($C$3&amp;"-"&amp;$D47,Import!$C:$H,4,FALSE)=0,"",VLOOKUP($C$3&amp;"-"&amp;$D47,Import!$C:$H,4,FALSE))</f>
        <v/>
      </c>
      <c r="R47" s="1022" t="str">
        <f>IF(VLOOKUP($C$3&amp;"-"&amp;$D47,Import!$C:$H,5,FALSE)=0,"",VLOOKUP($C$3&amp;"-"&amp;$D47,Import!$C:$H,5,FALSE))</f>
        <v/>
      </c>
      <c r="S47" s="1023" t="str">
        <f>IF(VLOOKUP($C$3&amp;"-"&amp;$D47,Import!$C:$H,6,FALSE)=0,"",VLOOKUP($C$3&amp;"-"&amp;$D47,Import!$C:$H,6,FALSE))</f>
        <v/>
      </c>
      <c r="T47" s="157"/>
      <c r="U47" s="256"/>
    </row>
    <row r="48" spans="1:21" s="300" customFormat="1" ht="45" customHeight="1" x14ac:dyDescent="0.2">
      <c r="A48" s="309"/>
      <c r="B48" s="390"/>
      <c r="C48" s="1227"/>
      <c r="D48" s="407" t="s">
        <v>28</v>
      </c>
      <c r="E48" s="514" t="str">
        <f>IF(VLOOKUP(CONCATENATE($C$3,"-",$D48),Languages!$A:$D,1,TRUE)=CONCATENATE($C$3,"-",$D48),VLOOKUP(CONCATENATE($C$3,"-",$D48),Languages!$A:$D,Summary!$C$7,TRUE),NA())</f>
        <v>Käytössä on viralliset menettelytavat sekä mahdolliset seuraamusmenettelyt tilanteisiin, joissa työntekijä lyö laimin kyberturvallisuuspolitiikan tai -säännöstön asettamia vaatimuksia.</v>
      </c>
      <c r="F48" s="403">
        <f t="shared" si="2"/>
        <v>0</v>
      </c>
      <c r="G48" s="489"/>
      <c r="H48" s="484"/>
      <c r="I48" s="484"/>
      <c r="J48" s="484"/>
      <c r="K48" s="493"/>
      <c r="L48" s="157"/>
      <c r="M48" s="256"/>
      <c r="N48" s="152"/>
      <c r="O48" s="996" t="str">
        <f>VLOOKUP(VLOOKUP($C$3&amp;"-"&amp;$D48,Import!$C:$D,2,FALSE),Parameters!$C$18:$F$22,Summary!$C$7,FALSE)</f>
        <v xml:space="preserve">0 - Vastaus puuttuu </v>
      </c>
      <c r="P48" s="1024" t="str">
        <f>IF(VLOOKUP($C$3&amp;"-"&amp;$D48,Import!$C:$H,3,FALSE)=0,"",VLOOKUP($C$3&amp;"-"&amp;$D48,Import!$C:$H,3,FALSE))</f>
        <v/>
      </c>
      <c r="Q48" s="1024" t="str">
        <f>IF(VLOOKUP($C$3&amp;"-"&amp;$D48,Import!$C:$H,4,FALSE)=0,"",VLOOKUP($C$3&amp;"-"&amp;$D48,Import!$C:$H,4,FALSE))</f>
        <v/>
      </c>
      <c r="R48" s="1024" t="str">
        <f>IF(VLOOKUP($C$3&amp;"-"&amp;$D48,Import!$C:$H,5,FALSE)=0,"",VLOOKUP($C$3&amp;"-"&amp;$D48,Import!$C:$H,5,FALSE))</f>
        <v/>
      </c>
      <c r="S48" s="1025" t="str">
        <f>IF(VLOOKUP($C$3&amp;"-"&amp;$D48,Import!$C:$H,6,FALSE)=0,"",VLOOKUP($C$3&amp;"-"&amp;$D48,Import!$C:$H,6,FALSE))</f>
        <v/>
      </c>
      <c r="T48" s="157"/>
      <c r="U48" s="256"/>
    </row>
    <row r="49" spans="1:21" s="180" customFormat="1" ht="30" customHeight="1" x14ac:dyDescent="0.25">
      <c r="A49" s="169"/>
      <c r="B49" s="273"/>
      <c r="C49" s="173">
        <v>4</v>
      </c>
      <c r="D49" s="173" t="str">
        <f>IF(VLOOKUP(CONCATENATE($C$3,"-",C49),Languages!$A:$D,1,TRUE)=CONCATENATE($C$3,"-",C49),VLOOKUP(CONCATENATE($C$3,"-",C49),Languages!$A:$D,Summary!$C$7,TRUE),NA())</f>
        <v>Koulutus ja kybertietoisuuden lisääminen</v>
      </c>
      <c r="E49" s="173"/>
      <c r="F49" s="296"/>
      <c r="G49" s="1006"/>
      <c r="H49" s="1030"/>
      <c r="I49" s="1030"/>
      <c r="J49" s="1030"/>
      <c r="K49" s="1030"/>
      <c r="L49" s="157"/>
      <c r="M49" s="256"/>
      <c r="N49" s="152"/>
      <c r="O49" s="296"/>
      <c r="P49" s="297"/>
      <c r="Q49" s="297"/>
      <c r="R49" s="297"/>
      <c r="S49" s="297"/>
      <c r="T49" s="157"/>
      <c r="U49" s="256"/>
    </row>
    <row r="50" spans="1:21" s="289" customFormat="1" ht="19.95" customHeight="1" x14ac:dyDescent="0.2">
      <c r="A50" s="308"/>
      <c r="B50" s="283"/>
      <c r="C50" s="284" t="str">
        <f>IF(VLOOKUP("GEN-LEVEL",Languages!$A:$D,1,TRUE)="GEN-LEVEL",VLOOKUP("GEN-LEVEL",Languages!$A:$D,Summary!$C$7,TRUE),NA())</f>
        <v>Taso</v>
      </c>
      <c r="D50" s="284"/>
      <c r="E50" s="285" t="str">
        <f>IF(VLOOKUP("GEN-PRACTICE",Languages!$A:$D,1,TRUE)="GEN-PRACTICE",VLOOKUP("GEN-PRACTICE",Languages!$A:$D,Summary!$C$7,TRUE),NA())</f>
        <v>Käytäntö</v>
      </c>
      <c r="F50" s="286"/>
      <c r="G50" s="1003" t="str">
        <f>IF(VLOOKUP("GEN-ANSWER",Languages!$A:$D,1,TRUE)="GEN-ANSWER",VLOOKUP("GEN-ANSWER",Languages!$A:$D,Summary!$C$7,TRUE),NA())</f>
        <v>Vastaus</v>
      </c>
      <c r="H50" s="1004" t="str">
        <f>IF(VLOOKUP("KM112",Languages!$A:$D,1,TRUE)="KM112",VLOOKUP("KM112",Languages!$A:$D,Summary!$C$7,TRUE),NA())</f>
        <v>Kommentit</v>
      </c>
      <c r="I50" s="1004" t="str">
        <f>IF(VLOOKUP("KM113",Languages!$A:$D,1,TRUE)="KM113",VLOOKUP("KM113",Languages!$A:$D,Summary!$C$7,TRUE),NA())</f>
        <v>Sisäinen viittaus</v>
      </c>
      <c r="J50" s="1004" t="str">
        <f>IF(VLOOKUP("KM114",Languages!$A:$D,1,TRUE)="KM114",VLOOKUP("KM114",Languages!$A:$D,Summary!$C$7,TRUE),NA())</f>
        <v>Ulkoinen viittaus</v>
      </c>
      <c r="K50" s="1004" t="str">
        <f>IF(VLOOKUP("KM115",Languages!$A:$D,1,TRUE)="KM115",VLOOKUP("KM115",Languages!$A:$D,Summary!$C$7,TRUE),NA())</f>
        <v>Kehityskohde</v>
      </c>
      <c r="L50" s="287"/>
      <c r="M50" s="288"/>
      <c r="N50" s="283"/>
      <c r="O50" s="503" t="str">
        <f>IF(VLOOKUP("GEN-ANSWER",Languages!$A:$D,1,TRUE)="GEN-ANSWER",VLOOKUP("GEN-ANSWER",Languages!$A:$D,Summary!$C$7,TRUE),NA())</f>
        <v>Vastaus</v>
      </c>
      <c r="P50" s="503" t="str">
        <f>IF(VLOOKUP("KM112",Languages!$A:$D,1,TRUE)="KM112",VLOOKUP("KM112",Languages!$A:$D,Summary!$C$7,TRUE),NA())</f>
        <v>Kommentit</v>
      </c>
      <c r="Q50" s="503" t="str">
        <f>IF(VLOOKUP("KM113",Languages!$A:$D,1,TRUE)="KM113",VLOOKUP("KM113",Languages!$A:$D,Summary!$C$7,TRUE),NA())</f>
        <v>Sisäinen viittaus</v>
      </c>
      <c r="R50" s="503" t="str">
        <f>IF(VLOOKUP("KM114",Languages!$A:$D,1,TRUE)="KM114",VLOOKUP("KM114",Languages!$A:$D,Summary!$C$7,TRUE),NA())</f>
        <v>Ulkoinen viittaus</v>
      </c>
      <c r="S50" s="503" t="str">
        <f>IF(VLOOKUP("KM115",Languages!$A:$D,1,TRUE)="KM115",VLOOKUP("KM115",Languages!$A:$D,Summary!$C$7,TRUE),NA())</f>
        <v>Kehityskohde</v>
      </c>
      <c r="T50" s="287"/>
      <c r="U50" s="288"/>
    </row>
    <row r="51" spans="1:21" s="300" customFormat="1" ht="42.6" customHeight="1" x14ac:dyDescent="0.2">
      <c r="A51" s="309"/>
      <c r="B51" s="301"/>
      <c r="C51" s="568">
        <v>1</v>
      </c>
      <c r="D51" s="410" t="s">
        <v>123</v>
      </c>
      <c r="E51" s="506" t="str">
        <f>IF(VLOOKUP(CONCATENATE($C$3,"-",$D51),Languages!$A:$D,1,TRUE)=CONCATENATE($C$3,"-",$D51),VLOOKUP(CONCATENATE($C$3,"-",$D51),Languages!$A:$D,Summary!$C$7,TRUE),NA())</f>
        <v>Henkilöstön kyberturvallisuustietoisuutta kohotetaan erilaisin toimin. Tasolla 1 tämän ei tarvitse olla systemaattista ja säännöllistä.</v>
      </c>
      <c r="F51" s="401">
        <f>IFERROR(INT(LEFT($G51,1)),0)</f>
        <v>0</v>
      </c>
      <c r="G51" s="496"/>
      <c r="H51" s="494"/>
      <c r="I51" s="494"/>
      <c r="J51" s="494"/>
      <c r="K51" s="495"/>
      <c r="L51" s="157"/>
      <c r="M51" s="256"/>
      <c r="N51" s="152"/>
      <c r="O51" s="985" t="str">
        <f>VLOOKUP(VLOOKUP($C$3&amp;"-"&amp;$D51,Import!$C:$D,2,FALSE),Parameters!$C$18:$F$22,Summary!$C$7,FALSE)</f>
        <v xml:space="preserve">0 - Vastaus puuttuu </v>
      </c>
      <c r="P51" s="1026" t="str">
        <f>IF(VLOOKUP($C$3&amp;"-"&amp;$D51,Import!$C:$H,3,FALSE)=0,"",VLOOKUP($C$3&amp;"-"&amp;$D51,Import!$C:$H,3,FALSE))</f>
        <v/>
      </c>
      <c r="Q51" s="1026" t="str">
        <f>IF(VLOOKUP($C$3&amp;"-"&amp;$D51,Import!$C:$H,4,FALSE)=0,"",VLOOKUP($C$3&amp;"-"&amp;$D51,Import!$C:$H,4,FALSE))</f>
        <v/>
      </c>
      <c r="R51" s="1026" t="str">
        <f>IF(VLOOKUP($C$3&amp;"-"&amp;$D51,Import!$C:$H,5,FALSE)=0,"",VLOOKUP($C$3&amp;"-"&amp;$D51,Import!$C:$H,5,FALSE))</f>
        <v/>
      </c>
      <c r="S51" s="1027" t="str">
        <f>IF(VLOOKUP($C$3&amp;"-"&amp;$D51,Import!$C:$H,6,FALSE)=0,"",VLOOKUP($C$3&amp;"-"&amp;$D51,Import!$C:$H,6,FALSE))</f>
        <v/>
      </c>
      <c r="T51" s="157"/>
      <c r="U51" s="256"/>
    </row>
    <row r="52" spans="1:21" s="300" customFormat="1" ht="34.950000000000003" customHeight="1" x14ac:dyDescent="0.2">
      <c r="A52" s="309"/>
      <c r="B52" s="301"/>
      <c r="C52" s="1224">
        <v>2</v>
      </c>
      <c r="D52" s="406" t="s">
        <v>126</v>
      </c>
      <c r="E52" s="507" t="str">
        <f>IF(VLOOKUP(CONCATENATE($C$3,"-",$D52),Languages!$A:$D,1,TRUE)=CONCATENATE($C$3,"-",$D52),VLOOKUP(CONCATENATE($C$3,"-",$D52),Languages!$A:$D,Summary!$C$7,TRUE),NA())</f>
        <v>Kyberturvallisuustietoisuutta kohottaville toimille on määritetty tavoitteita, joita ylläpidetään.</v>
      </c>
      <c r="F52" s="396">
        <f>IFERROR(INT(LEFT($G52,1)),0)</f>
        <v>0</v>
      </c>
      <c r="G52" s="485"/>
      <c r="H52" s="482"/>
      <c r="I52" s="482"/>
      <c r="J52" s="482"/>
      <c r="K52" s="491"/>
      <c r="L52" s="157"/>
      <c r="M52" s="256"/>
      <c r="N52" s="152"/>
      <c r="O52" s="988" t="str">
        <f>VLOOKUP(VLOOKUP($C$3&amp;"-"&amp;$D52,Import!$C:$D,2,FALSE),Parameters!$C$18:$F$22,Summary!$C$7,FALSE)</f>
        <v xml:space="preserve">0 - Vastaus puuttuu </v>
      </c>
      <c r="P52" s="1022" t="str">
        <f>IF(VLOOKUP($C$3&amp;"-"&amp;$D52,Import!$C:$H,3,FALSE)=0,"",VLOOKUP($C$3&amp;"-"&amp;$D52,Import!$C:$H,3,FALSE))</f>
        <v/>
      </c>
      <c r="Q52" s="1022" t="str">
        <f>IF(VLOOKUP($C$3&amp;"-"&amp;$D52,Import!$C:$H,4,FALSE)=0,"",VLOOKUP($C$3&amp;"-"&amp;$D52,Import!$C:$H,4,FALSE))</f>
        <v/>
      </c>
      <c r="R52" s="1022" t="str">
        <f>IF(VLOOKUP($C$3&amp;"-"&amp;$D52,Import!$C:$H,5,FALSE)=0,"",VLOOKUP($C$3&amp;"-"&amp;$D52,Import!$C:$H,5,FALSE))</f>
        <v/>
      </c>
      <c r="S52" s="1023" t="str">
        <f>IF(VLOOKUP($C$3&amp;"-"&amp;$D52,Import!$C:$H,6,FALSE)=0,"",VLOOKUP($C$3&amp;"-"&amp;$D52,Import!$C:$H,6,FALSE))</f>
        <v/>
      </c>
      <c r="T52" s="157"/>
      <c r="U52" s="256"/>
    </row>
    <row r="53" spans="1:21" s="300" customFormat="1" ht="44.4" customHeight="1" x14ac:dyDescent="0.2">
      <c r="A53" s="309"/>
      <c r="B53" s="301"/>
      <c r="C53" s="1225"/>
      <c r="D53" s="407" t="s">
        <v>129</v>
      </c>
      <c r="E53" s="514" t="str">
        <f>IF(VLOOKUP(CONCATENATE($C$3,"-",$D53),Languages!$A:$D,1,TRUE)=CONCATENATE($C$3,"-",$D53),VLOOKUP(CONCATENATE($C$3,"-",$D53),Languages!$A:$D,Summary!$C$7,TRUE),NA())</f>
        <v>Kyberturvallisuustietoisuuden kohottamisen tavoitteet ovat linjassa organisaation määrittämän uhkaprofiilin kanssa [kts. THREAT-2d].</v>
      </c>
      <c r="F53" s="403">
        <f>IFERROR(INT(LEFT($G53,1)),0)</f>
        <v>0</v>
      </c>
      <c r="G53" s="489"/>
      <c r="H53" s="484"/>
      <c r="I53" s="484"/>
      <c r="J53" s="484"/>
      <c r="K53" s="493"/>
      <c r="L53" s="157"/>
      <c r="M53" s="256"/>
      <c r="N53" s="152"/>
      <c r="O53" s="996" t="str">
        <f>VLOOKUP(VLOOKUP($C$3&amp;"-"&amp;$D53,Import!$C:$D,2,FALSE),Parameters!$C$18:$F$22,Summary!$C$7,FALSE)</f>
        <v xml:space="preserve">0 - Vastaus puuttuu </v>
      </c>
      <c r="P53" s="1024" t="str">
        <f>IF(VLOOKUP($C$3&amp;"-"&amp;$D53,Import!$C:$H,3,FALSE)=0,"",VLOOKUP($C$3&amp;"-"&amp;$D53,Import!$C:$H,3,FALSE))</f>
        <v/>
      </c>
      <c r="Q53" s="1024" t="str">
        <f>IF(VLOOKUP($C$3&amp;"-"&amp;$D53,Import!$C:$H,4,FALSE)=0,"",VLOOKUP($C$3&amp;"-"&amp;$D53,Import!$C:$H,4,FALSE))</f>
        <v/>
      </c>
      <c r="R53" s="1024" t="str">
        <f>IF(VLOOKUP($C$3&amp;"-"&amp;$D53,Import!$C:$H,5,FALSE)=0,"",VLOOKUP($C$3&amp;"-"&amp;$D53,Import!$C:$H,5,FALSE))</f>
        <v/>
      </c>
      <c r="S53" s="1025" t="str">
        <f>IF(VLOOKUP($C$3&amp;"-"&amp;$D53,Import!$C:$H,6,FALSE)=0,"",VLOOKUP($C$3&amp;"-"&amp;$D53,Import!$C:$H,6,FALSE))</f>
        <v/>
      </c>
      <c r="T53" s="157"/>
      <c r="U53" s="256"/>
    </row>
    <row r="54" spans="1:21" s="300" customFormat="1" ht="45" customHeight="1" x14ac:dyDescent="0.2">
      <c r="A54" s="309"/>
      <c r="B54" s="301"/>
      <c r="C54" s="1226">
        <v>3</v>
      </c>
      <c r="D54" s="406" t="s">
        <v>132</v>
      </c>
      <c r="E54" s="507" t="str">
        <f>IF(VLOOKUP(CONCATENATE($C$3,"-",$D54),Languages!$A:$D,1,TRUE)=CONCATENATE($C$3,"-",$D54),VLOOKUP(CONCATENATE($C$3,"-",$D54),Languages!$A:$D,Summary!$C$7,TRUE),NA())</f>
        <v>Kyberturvallisuustietoisuuden kohottamisen toimenpiteet ovat linjassa organisaation ennalta määriteltyjen toimintatilojen kanssa [kts. SITUATION-3h].</v>
      </c>
      <c r="F54" s="396">
        <f>IFERROR(INT(LEFT($G54,1)),0)</f>
        <v>0</v>
      </c>
      <c r="G54" s="485"/>
      <c r="H54" s="482"/>
      <c r="I54" s="482"/>
      <c r="J54" s="482"/>
      <c r="K54" s="491"/>
      <c r="L54" s="157"/>
      <c r="M54" s="256"/>
      <c r="N54" s="152"/>
      <c r="O54" s="988" t="str">
        <f>VLOOKUP(VLOOKUP($C$3&amp;"-"&amp;$D54,Import!$C:$D,2,FALSE),Parameters!$C$18:$F$22,Summary!$C$7,FALSE)</f>
        <v xml:space="preserve">0 - Vastaus puuttuu </v>
      </c>
      <c r="P54" s="1022" t="str">
        <f>IF(VLOOKUP($C$3&amp;"-"&amp;$D54,Import!$C:$H,3,FALSE)=0,"",VLOOKUP($C$3&amp;"-"&amp;$D54,Import!$C:$H,3,FALSE))</f>
        <v/>
      </c>
      <c r="Q54" s="1022" t="str">
        <f>IF(VLOOKUP($C$3&amp;"-"&amp;$D54,Import!$C:$H,4,FALSE)=0,"",VLOOKUP($C$3&amp;"-"&amp;$D54,Import!$C:$H,4,FALSE))</f>
        <v/>
      </c>
      <c r="R54" s="1022" t="str">
        <f>IF(VLOOKUP($C$3&amp;"-"&amp;$D54,Import!$C:$H,5,FALSE)=0,"",VLOOKUP($C$3&amp;"-"&amp;$D54,Import!$C:$H,5,FALSE))</f>
        <v/>
      </c>
      <c r="S54" s="1023" t="str">
        <f>IF(VLOOKUP($C$3&amp;"-"&amp;$D54,Import!$C:$H,6,FALSE)=0,"",VLOOKUP($C$3&amp;"-"&amp;$D54,Import!$C:$H,6,FALSE))</f>
        <v/>
      </c>
      <c r="T54" s="157"/>
      <c r="U54" s="256"/>
    </row>
    <row r="55" spans="1:21" s="300" customFormat="1" ht="60" customHeight="1" x14ac:dyDescent="0.2">
      <c r="A55" s="309"/>
      <c r="B55" s="301"/>
      <c r="C55" s="1227"/>
      <c r="D55" s="407" t="s">
        <v>135</v>
      </c>
      <c r="E55" s="514" t="str">
        <f>IF(VLOOKUP(CONCATENATE($C$3,"-",$D55),Languages!$A:$D,1,TRUE)=CONCATENATE($C$3,"-",$D55),VLOOKUP(CONCATENATE($C$3,"-",$D55),Languages!$A:$D,Summary!$C$7,TRUE),NA())</f>
        <v>Kyberturvallisuustietoisuuden kohottamisen toimien tehokkuutta arvioidaan aika ajoin ja määriteltyjen tilanteiden kuten järjestelmämuutosten tai ulkoisten tapahtumien yhteydessä ja niitä kehitetään tarpeen vaatiessa.</v>
      </c>
      <c r="F55" s="403">
        <f>IFERROR(INT(LEFT($G55,1)),0)</f>
        <v>0</v>
      </c>
      <c r="G55" s="489"/>
      <c r="H55" s="484"/>
      <c r="I55" s="484"/>
      <c r="J55" s="484"/>
      <c r="K55" s="493"/>
      <c r="L55" s="157"/>
      <c r="M55" s="256"/>
      <c r="N55" s="152"/>
      <c r="O55" s="996" t="str">
        <f>VLOOKUP(VLOOKUP($C$3&amp;"-"&amp;$D55,Import!$C:$D,2,FALSE),Parameters!$C$18:$F$22,Summary!$C$7,FALSE)</f>
        <v xml:space="preserve">0 - Vastaus puuttuu </v>
      </c>
      <c r="P55" s="1024" t="str">
        <f>IF(VLOOKUP($C$3&amp;"-"&amp;$D55,Import!$C:$H,3,FALSE)=0,"",VLOOKUP($C$3&amp;"-"&amp;$D55,Import!$C:$H,3,FALSE))</f>
        <v/>
      </c>
      <c r="Q55" s="1024" t="str">
        <f>IF(VLOOKUP($C$3&amp;"-"&amp;$D55,Import!$C:$H,4,FALSE)=0,"",VLOOKUP($C$3&amp;"-"&amp;$D55,Import!$C:$H,4,FALSE))</f>
        <v/>
      </c>
      <c r="R55" s="1024" t="str">
        <f>IF(VLOOKUP($C$3&amp;"-"&amp;$D55,Import!$C:$H,5,FALSE)=0,"",VLOOKUP($C$3&amp;"-"&amp;$D55,Import!$C:$H,5,FALSE))</f>
        <v/>
      </c>
      <c r="S55" s="1025" t="str">
        <f>IF(VLOOKUP($C$3&amp;"-"&amp;$D55,Import!$C:$H,6,FALSE)=0,"",VLOOKUP($C$3&amp;"-"&amp;$D55,Import!$C:$H,6,FALSE))</f>
        <v/>
      </c>
      <c r="T55" s="157"/>
      <c r="U55" s="256"/>
    </row>
    <row r="56" spans="1:21" s="180" customFormat="1" ht="30" customHeight="1" x14ac:dyDescent="0.25">
      <c r="A56" s="169"/>
      <c r="B56" s="273"/>
      <c r="C56" s="173">
        <v>5</v>
      </c>
      <c r="D56" s="173" t="str">
        <f>IF(VLOOKUP(CONCATENATE($C$3,"-",C56),Languages!$A:$D,1,TRUE)=CONCATENATE($C$3,"-",C56),VLOOKUP(CONCATENATE($C$3,"-",C56),Languages!$A:$D,Summary!$C$7,TRUE),NA())</f>
        <v>Yleisiä hallintatoimia</v>
      </c>
      <c r="E56" s="173"/>
      <c r="F56" s="296"/>
      <c r="G56" s="1006"/>
      <c r="H56" s="1030"/>
      <c r="I56" s="1030"/>
      <c r="J56" s="1030"/>
      <c r="K56" s="1030"/>
      <c r="L56" s="157"/>
      <c r="M56" s="256"/>
      <c r="N56" s="152"/>
      <c r="O56" s="296"/>
      <c r="P56" s="297"/>
      <c r="Q56" s="297"/>
      <c r="R56" s="297"/>
      <c r="S56" s="297"/>
      <c r="T56" s="157"/>
      <c r="U56" s="256"/>
    </row>
    <row r="57" spans="1:21" s="289" customFormat="1" ht="19.95" customHeight="1" x14ac:dyDescent="0.2">
      <c r="A57" s="308"/>
      <c r="B57" s="283"/>
      <c r="C57" s="284" t="str">
        <f>IF(VLOOKUP("GEN-LEVEL",Languages!$A:$D,1,TRUE)="GEN-LEVEL",VLOOKUP("GEN-LEVEL",Languages!$A:$D,Summary!$C$7,TRUE),NA())</f>
        <v>Taso</v>
      </c>
      <c r="D57" s="284"/>
      <c r="E57" s="285" t="str">
        <f>IF(VLOOKUP("GEN-PRACTICE",Languages!$A:$D,1,TRUE)="GEN-PRACTICE",VLOOKUP("GEN-PRACTICE",Languages!$A:$D,Summary!$C$7,TRUE),NA())</f>
        <v>Käytäntö</v>
      </c>
      <c r="F57" s="286"/>
      <c r="G57" s="1003" t="str">
        <f>IF(VLOOKUP("GEN-ANSWER",Languages!$A:$D,1,TRUE)="GEN-ANSWER",VLOOKUP("GEN-ANSWER",Languages!$A:$D,Summary!$C$7,TRUE),NA())</f>
        <v>Vastaus</v>
      </c>
      <c r="H57" s="1004" t="str">
        <f>IF(VLOOKUP("KM112",Languages!$A:$D,1,TRUE)="KM112",VLOOKUP("KM112",Languages!$A:$D,Summary!$C$7,TRUE),NA())</f>
        <v>Kommentit</v>
      </c>
      <c r="I57" s="1004" t="str">
        <f>IF(VLOOKUP("KM113",Languages!$A:$D,1,TRUE)="KM113",VLOOKUP("KM113",Languages!$A:$D,Summary!$C$7,TRUE),NA())</f>
        <v>Sisäinen viittaus</v>
      </c>
      <c r="J57" s="1004" t="str">
        <f>IF(VLOOKUP("KM114",Languages!$A:$D,1,TRUE)="KM114",VLOOKUP("KM114",Languages!$A:$D,Summary!$C$7,TRUE),NA())</f>
        <v>Ulkoinen viittaus</v>
      </c>
      <c r="K57" s="1004" t="str">
        <f>IF(VLOOKUP("KM115",Languages!$A:$D,1,TRUE)="KM115",VLOOKUP("KM115",Languages!$A:$D,Summary!$C$7,TRUE),NA())</f>
        <v>Kehityskohde</v>
      </c>
      <c r="L57" s="287"/>
      <c r="M57" s="288"/>
      <c r="N57" s="283"/>
      <c r="O57" s="503" t="str">
        <f>IF(VLOOKUP("GEN-ANSWER",Languages!$A:$D,1,TRUE)="GEN-ANSWER",VLOOKUP("GEN-ANSWER",Languages!$A:$D,Summary!$C$7,TRUE),NA())</f>
        <v>Vastaus</v>
      </c>
      <c r="P57" s="503" t="str">
        <f>IF(VLOOKUP("KM112",Languages!$A:$D,1,TRUE)="KM112",VLOOKUP("KM112",Languages!$A:$D,Summary!$C$7,TRUE),NA())</f>
        <v>Kommentit</v>
      </c>
      <c r="Q57" s="503" t="str">
        <f>IF(VLOOKUP("KM113",Languages!$A:$D,1,TRUE)="KM113",VLOOKUP("KM113",Languages!$A:$D,Summary!$C$7,TRUE),NA())</f>
        <v>Sisäinen viittaus</v>
      </c>
      <c r="R57" s="503" t="str">
        <f>IF(VLOOKUP("KM114",Languages!$A:$D,1,TRUE)="KM114",VLOOKUP("KM114",Languages!$A:$D,Summary!$C$7,TRUE),NA())</f>
        <v>Ulkoinen viittaus</v>
      </c>
      <c r="S57" s="503" t="str">
        <f>IF(VLOOKUP("KM115",Languages!$A:$D,1,TRUE)="KM115",VLOOKUP("KM115",Languages!$A:$D,Summary!$C$7,TRUE),NA())</f>
        <v>Kehityskohde</v>
      </c>
      <c r="T57" s="287"/>
      <c r="U57" s="288"/>
    </row>
    <row r="58" spans="1:21" s="315" customFormat="1" ht="19.95" customHeight="1" x14ac:dyDescent="0.2">
      <c r="A58" s="288"/>
      <c r="B58" s="283"/>
      <c r="C58" s="497">
        <v>1</v>
      </c>
      <c r="D58" s="412"/>
      <c r="E58" s="413"/>
      <c r="F58" s="415"/>
      <c r="G58" s="1007"/>
      <c r="H58" s="1008"/>
      <c r="I58" s="1008"/>
      <c r="J58" s="1008"/>
      <c r="K58" s="1009"/>
      <c r="L58" s="157"/>
      <c r="M58" s="256"/>
      <c r="N58" s="152"/>
      <c r="O58" s="562"/>
      <c r="P58" s="414"/>
      <c r="Q58" s="414"/>
      <c r="R58" s="414"/>
      <c r="S58" s="416"/>
      <c r="T58" s="157"/>
      <c r="U58" s="256"/>
    </row>
    <row r="59" spans="1:21" s="300" customFormat="1" ht="34.950000000000003" customHeight="1" x14ac:dyDescent="0.2">
      <c r="A59" s="309"/>
      <c r="B59" s="1213"/>
      <c r="C59" s="1224">
        <v>2</v>
      </c>
      <c r="D59" s="406" t="s">
        <v>140</v>
      </c>
      <c r="E59" s="507" t="str">
        <f>IF(VLOOKUP(CONCATENATE($C$3,"-",$D59),Languages!$A:$D,1,TRUE)=CONCATENATE($C$3,"-",$D59),VLOOKUP(CONCATENATE($C$3,"-",$D59),Languages!$A:$D,Summary!$C$7,TRUE),NA())</f>
        <v>WORKFORCE-osion toimintaa varten on määritetty dokumentoidut toimintatavat, joita noudatetaan ja päivitetään säännöllisesti.</v>
      </c>
      <c r="F59" s="396">
        <f t="shared" ref="F59:F64" si="3">IFERROR(INT(LEFT($G59,1)),0)</f>
        <v>0</v>
      </c>
      <c r="G59" s="485"/>
      <c r="H59" s="482"/>
      <c r="I59" s="482"/>
      <c r="J59" s="482"/>
      <c r="K59" s="491"/>
      <c r="L59" s="157"/>
      <c r="M59" s="256"/>
      <c r="N59" s="152"/>
      <c r="O59" s="988" t="str">
        <f>VLOOKUP(VLOOKUP($C$3&amp;"-"&amp;$D59,Import!$C:$D,2,FALSE),Parameters!$C$18:$F$22,Summary!$C$7,FALSE)</f>
        <v xml:space="preserve">0 - Vastaus puuttuu </v>
      </c>
      <c r="P59" s="1022" t="str">
        <f>IF(VLOOKUP($C$3&amp;"-"&amp;$D59,Import!$C:$H,3,FALSE)=0,"",VLOOKUP($C$3&amp;"-"&amp;$D59,Import!$C:$H,3,FALSE))</f>
        <v/>
      </c>
      <c r="Q59" s="1022" t="str">
        <f>IF(VLOOKUP($C$3&amp;"-"&amp;$D59,Import!$C:$H,4,FALSE)=0,"",VLOOKUP($C$3&amp;"-"&amp;$D59,Import!$C:$H,4,FALSE))</f>
        <v/>
      </c>
      <c r="R59" s="1022" t="str">
        <f>IF(VLOOKUP($C$3&amp;"-"&amp;$D59,Import!$C:$H,5,FALSE)=0,"",VLOOKUP($C$3&amp;"-"&amp;$D59,Import!$C:$H,5,FALSE))</f>
        <v/>
      </c>
      <c r="S59" s="1023" t="str">
        <f>IF(VLOOKUP($C$3&amp;"-"&amp;$D59,Import!$C:$H,6,FALSE)=0,"",VLOOKUP($C$3&amp;"-"&amp;$D59,Import!$C:$H,6,FALSE))</f>
        <v/>
      </c>
      <c r="T59" s="157"/>
      <c r="U59" s="256"/>
    </row>
    <row r="60" spans="1:21" s="300" customFormat="1" ht="34.950000000000003" customHeight="1" x14ac:dyDescent="0.2">
      <c r="A60" s="309"/>
      <c r="B60" s="1213"/>
      <c r="C60" s="1225"/>
      <c r="D60" s="407" t="s">
        <v>143</v>
      </c>
      <c r="E60" s="514" t="str">
        <f>IF(VLOOKUP(CONCATENATE($C$3,"-",$D60),Languages!$A:$D,1,TRUE)=CONCATENATE($C$3,"-",$D60),VLOOKUP(CONCATENATE($C$3,"-",$D60),Languages!$A:$D,Summary!$C$7,TRUE),NA())</f>
        <v>WORKFORCE-osion toimintaa varten on tarjolla riittävät resurssit (henkilöstö, rahoitus ja työkalut).</v>
      </c>
      <c r="F60" s="403">
        <f t="shared" si="3"/>
        <v>0</v>
      </c>
      <c r="G60" s="489"/>
      <c r="H60" s="484"/>
      <c r="I60" s="484"/>
      <c r="J60" s="484"/>
      <c r="K60" s="493"/>
      <c r="L60" s="157"/>
      <c r="M60" s="256"/>
      <c r="N60" s="152"/>
      <c r="O60" s="996" t="str">
        <f>VLOOKUP(VLOOKUP($C$3&amp;"-"&amp;$D60,Import!$C:$D,2,FALSE),Parameters!$C$18:$F$22,Summary!$C$7,FALSE)</f>
        <v xml:space="preserve">0 - Vastaus puuttuu </v>
      </c>
      <c r="P60" s="1024" t="str">
        <f>IF(VLOOKUP($C$3&amp;"-"&amp;$D60,Import!$C:$H,3,FALSE)=0,"",VLOOKUP($C$3&amp;"-"&amp;$D60,Import!$C:$H,3,FALSE))</f>
        <v/>
      </c>
      <c r="Q60" s="1024" t="str">
        <f>IF(VLOOKUP($C$3&amp;"-"&amp;$D60,Import!$C:$H,4,FALSE)=0,"",VLOOKUP($C$3&amp;"-"&amp;$D60,Import!$C:$H,4,FALSE))</f>
        <v/>
      </c>
      <c r="R60" s="1024" t="str">
        <f>IF(VLOOKUP($C$3&amp;"-"&amp;$D60,Import!$C:$H,5,FALSE)=0,"",VLOOKUP($C$3&amp;"-"&amp;$D60,Import!$C:$H,5,FALSE))</f>
        <v/>
      </c>
      <c r="S60" s="1025" t="str">
        <f>IF(VLOOKUP($C$3&amp;"-"&amp;$D60,Import!$C:$H,6,FALSE)=0,"",VLOOKUP($C$3&amp;"-"&amp;$D60,Import!$C:$H,6,FALSE))</f>
        <v/>
      </c>
      <c r="T60" s="157"/>
      <c r="U60" s="256"/>
    </row>
    <row r="61" spans="1:21" s="300" customFormat="1" ht="43.2" customHeight="1" x14ac:dyDescent="0.2">
      <c r="A61" s="309"/>
      <c r="B61" s="1213"/>
      <c r="C61" s="1226">
        <v>3</v>
      </c>
      <c r="D61" s="406" t="s">
        <v>146</v>
      </c>
      <c r="E61" s="507" t="str">
        <f>IF(VLOOKUP(CONCATENATE($C$3,"-",$D61),Languages!$A:$D,1,TRUE)=CONCATENATE($C$3,"-",$D61),VLOOKUP(CONCATENATE($C$3,"-",$D61),Languages!$A:$D,Summary!$C$7,TRUE),NA())</f>
        <v>WORKFORCE-osion toimintaa ohjataan vaatimuksilla, jotka on asetettu organisaation johtotason politiikassa (tai vastaavassa ohjeistuksessa).</v>
      </c>
      <c r="F61" s="396">
        <f t="shared" si="3"/>
        <v>0</v>
      </c>
      <c r="G61" s="485"/>
      <c r="H61" s="482"/>
      <c r="I61" s="482"/>
      <c r="J61" s="482"/>
      <c r="K61" s="491"/>
      <c r="L61" s="157"/>
      <c r="M61" s="256"/>
      <c r="N61" s="152"/>
      <c r="O61" s="988" t="str">
        <f>VLOOKUP(VLOOKUP($C$3&amp;"-"&amp;$D61,Import!$C:$D,2,FALSE),Parameters!$C$18:$F$22,Summary!$C$7,FALSE)</f>
        <v xml:space="preserve">0 - Vastaus puuttuu </v>
      </c>
      <c r="P61" s="1022" t="str">
        <f>IF(VLOOKUP($C$3&amp;"-"&amp;$D61,Import!$C:$H,3,FALSE)=0,"",VLOOKUP($C$3&amp;"-"&amp;$D61,Import!$C:$H,3,FALSE))</f>
        <v/>
      </c>
      <c r="Q61" s="1022" t="str">
        <f>IF(VLOOKUP($C$3&amp;"-"&amp;$D61,Import!$C:$H,4,FALSE)=0,"",VLOOKUP($C$3&amp;"-"&amp;$D61,Import!$C:$H,4,FALSE))</f>
        <v/>
      </c>
      <c r="R61" s="1022" t="str">
        <f>IF(VLOOKUP($C$3&amp;"-"&amp;$D61,Import!$C:$H,5,FALSE)=0,"",VLOOKUP($C$3&amp;"-"&amp;$D61,Import!$C:$H,5,FALSE))</f>
        <v/>
      </c>
      <c r="S61" s="1023" t="str">
        <f>IF(VLOOKUP($C$3&amp;"-"&amp;$D61,Import!$C:$H,6,FALSE)=0,"",VLOOKUP($C$3&amp;"-"&amp;$D61,Import!$C:$H,6,FALSE))</f>
        <v/>
      </c>
      <c r="T61" s="157"/>
      <c r="U61" s="256"/>
    </row>
    <row r="62" spans="1:21" s="300" customFormat="1" ht="34.950000000000003" customHeight="1" x14ac:dyDescent="0.2">
      <c r="A62" s="309"/>
      <c r="B62" s="1213"/>
      <c r="C62" s="1228"/>
      <c r="D62" s="298" t="s">
        <v>149</v>
      </c>
      <c r="E62" s="508" t="str">
        <f>IF(VLOOKUP(CONCATENATE($C$3,"-",$D62),Languages!$A:$D,1,TRUE)=CONCATENATE($C$3,"-",$D62),VLOOKUP(CONCATENATE($C$3,"-",$D62),Languages!$A:$D,Summary!$C$7,TRUE),NA())</f>
        <v>WORKFORCE-osion toimintaa suorittavilla työntekijöillä on riittävät tiedot ja taidot tehtäviensä suorittamiseen.</v>
      </c>
      <c r="F62" s="291">
        <f t="shared" si="3"/>
        <v>0</v>
      </c>
      <c r="G62" s="311"/>
      <c r="H62" s="483"/>
      <c r="I62" s="483"/>
      <c r="J62" s="483"/>
      <c r="K62" s="492"/>
      <c r="L62" s="157"/>
      <c r="M62" s="256"/>
      <c r="N62" s="152"/>
      <c r="O62" s="991" t="str">
        <f>VLOOKUP(VLOOKUP($C$3&amp;"-"&amp;$D62,Import!$C:$D,2,FALSE),Parameters!$C$18:$F$22,Summary!$C$7,FALSE)</f>
        <v xml:space="preserve">0 - Vastaus puuttuu </v>
      </c>
      <c r="P62" s="1017" t="str">
        <f>IF(VLOOKUP($C$3&amp;"-"&amp;$D62,Import!$C:$H,3,FALSE)=0,"",VLOOKUP($C$3&amp;"-"&amp;$D62,Import!$C:$H,3,FALSE))</f>
        <v/>
      </c>
      <c r="Q62" s="1017" t="str">
        <f>IF(VLOOKUP($C$3&amp;"-"&amp;$D62,Import!$C:$H,4,FALSE)=0,"",VLOOKUP($C$3&amp;"-"&amp;$D62,Import!$C:$H,4,FALSE))</f>
        <v/>
      </c>
      <c r="R62" s="1017" t="str">
        <f>IF(VLOOKUP($C$3&amp;"-"&amp;$D62,Import!$C:$H,5,FALSE)=0,"",VLOOKUP($C$3&amp;"-"&amp;$D62,Import!$C:$H,5,FALSE))</f>
        <v/>
      </c>
      <c r="S62" s="1018" t="str">
        <f>IF(VLOOKUP($C$3&amp;"-"&amp;$D62,Import!$C:$H,6,FALSE)=0,"",VLOOKUP($C$3&amp;"-"&amp;$D62,Import!$C:$H,6,FALSE))</f>
        <v/>
      </c>
      <c r="T62" s="157"/>
      <c r="U62" s="256"/>
    </row>
    <row r="63" spans="1:21" s="300" customFormat="1" ht="41.4" customHeight="1" x14ac:dyDescent="0.2">
      <c r="A63" s="309"/>
      <c r="B63" s="1213"/>
      <c r="C63" s="1228"/>
      <c r="D63" s="298" t="s">
        <v>151</v>
      </c>
      <c r="E63" s="508" t="str">
        <f>IF(VLOOKUP(CONCATENATE($C$3,"-",$D63),Languages!$A:$D,1,TRUE)=CONCATENATE($C$3,"-",$D63),VLOOKUP(CONCATENATE($C$3,"-",$D63),Languages!$A:$D,Summary!$C$7,TRUE),NA())</f>
        <v>WORKFORCE-osion toiminnan suorittamiseen tarvittavat vastuut, tilivelvollisuudet ja valtuutukset on jalkautettu soveltuville työntekijöille.</v>
      </c>
      <c r="F63" s="291">
        <f t="shared" si="3"/>
        <v>0</v>
      </c>
      <c r="G63" s="311"/>
      <c r="H63" s="483"/>
      <c r="I63" s="483"/>
      <c r="J63" s="483"/>
      <c r="K63" s="492"/>
      <c r="L63" s="157"/>
      <c r="M63" s="256"/>
      <c r="N63" s="152"/>
      <c r="O63" s="991" t="str">
        <f>VLOOKUP(VLOOKUP($C$3&amp;"-"&amp;$D63,Import!$C:$D,2,FALSE),Parameters!$C$18:$F$22,Summary!$C$7,FALSE)</f>
        <v xml:space="preserve">0 - Vastaus puuttuu </v>
      </c>
      <c r="P63" s="1017" t="str">
        <f>IF(VLOOKUP($C$3&amp;"-"&amp;$D63,Import!$C:$H,3,FALSE)=0,"",VLOOKUP($C$3&amp;"-"&amp;$D63,Import!$C:$H,3,FALSE))</f>
        <v/>
      </c>
      <c r="Q63" s="1017" t="str">
        <f>IF(VLOOKUP($C$3&amp;"-"&amp;$D63,Import!$C:$H,4,FALSE)=0,"",VLOOKUP($C$3&amp;"-"&amp;$D63,Import!$C:$H,4,FALSE))</f>
        <v/>
      </c>
      <c r="R63" s="1017" t="str">
        <f>IF(VLOOKUP($C$3&amp;"-"&amp;$D63,Import!$C:$H,5,FALSE)=0,"",VLOOKUP($C$3&amp;"-"&amp;$D63,Import!$C:$H,5,FALSE))</f>
        <v/>
      </c>
      <c r="S63" s="1018" t="str">
        <f>IF(VLOOKUP($C$3&amp;"-"&amp;$D63,Import!$C:$H,6,FALSE)=0,"",VLOOKUP($C$3&amp;"-"&amp;$D63,Import!$C:$H,6,FALSE))</f>
        <v/>
      </c>
      <c r="T63" s="157"/>
      <c r="U63" s="256"/>
    </row>
    <row r="64" spans="1:21" s="300" customFormat="1" ht="34.950000000000003" customHeight="1" x14ac:dyDescent="0.2">
      <c r="A64" s="309"/>
      <c r="B64" s="1213"/>
      <c r="C64" s="1227"/>
      <c r="D64" s="407" t="s">
        <v>153</v>
      </c>
      <c r="E64" s="514" t="str">
        <f>IF(VLOOKUP(CONCATENATE($C$3,"-",$D64),Languages!$A:$D,1,TRUE)=CONCATENATE($C$3,"-",$D64),VLOOKUP(CONCATENATE($C$3,"-",$D64),Languages!$A:$D,Summary!$C$7,TRUE),NA())</f>
        <v>WORKFORCE-osion toiminnan vaikuttavuutta arvioidaan ja seurataan.</v>
      </c>
      <c r="F64" s="403">
        <f t="shared" si="3"/>
        <v>0</v>
      </c>
      <c r="G64" s="489"/>
      <c r="H64" s="484"/>
      <c r="I64" s="484"/>
      <c r="J64" s="484"/>
      <c r="K64" s="493"/>
      <c r="L64" s="157"/>
      <c r="M64" s="256"/>
      <c r="N64" s="152"/>
      <c r="O64" s="996" t="str">
        <f>VLOOKUP(VLOOKUP($C$3&amp;"-"&amp;$D64,Import!$C:$D,2,FALSE),Parameters!$C$18:$F$22,Summary!$C$7,FALSE)</f>
        <v xml:space="preserve">0 - Vastaus puuttuu </v>
      </c>
      <c r="P64" s="1024" t="str">
        <f>IF(VLOOKUP($C$3&amp;"-"&amp;$D64,Import!$C:$H,3,FALSE)=0,"",VLOOKUP($C$3&amp;"-"&amp;$D64,Import!$C:$H,3,FALSE))</f>
        <v/>
      </c>
      <c r="Q64" s="1024" t="str">
        <f>IF(VLOOKUP($C$3&amp;"-"&amp;$D64,Import!$C:$H,4,FALSE)=0,"",VLOOKUP($C$3&amp;"-"&amp;$D64,Import!$C:$H,4,FALSE))</f>
        <v/>
      </c>
      <c r="R64" s="1024" t="str">
        <f>IF(VLOOKUP($C$3&amp;"-"&amp;$D64,Import!$C:$H,5,FALSE)=0,"",VLOOKUP($C$3&amp;"-"&amp;$D64,Import!$C:$H,5,FALSE))</f>
        <v/>
      </c>
      <c r="S64" s="1025" t="str">
        <f>IF(VLOOKUP($C$3&amp;"-"&amp;$D64,Import!$C:$H,6,FALSE)=0,"",VLOOKUP($C$3&amp;"-"&amp;$D64,Import!$C:$H,6,FALSE))</f>
        <v/>
      </c>
      <c r="T64" s="157"/>
      <c r="U64" s="256"/>
    </row>
    <row r="65" spans="1:21" x14ac:dyDescent="0.2">
      <c r="A65" s="184"/>
      <c r="B65" s="333"/>
      <c r="C65" s="334"/>
      <c r="D65" s="335"/>
      <c r="E65" s="336"/>
      <c r="F65" s="337"/>
      <c r="G65" s="338"/>
      <c r="H65" s="339"/>
      <c r="I65" s="339"/>
      <c r="J65" s="339"/>
      <c r="K65" s="339"/>
      <c r="L65" s="157"/>
      <c r="M65" s="256"/>
      <c r="N65" s="152"/>
      <c r="O65" s="338"/>
      <c r="P65" s="339"/>
      <c r="Q65" s="339"/>
      <c r="R65" s="339"/>
      <c r="S65" s="339"/>
      <c r="T65" s="157"/>
      <c r="U65" s="256"/>
    </row>
    <row r="66" spans="1:21" x14ac:dyDescent="0.25">
      <c r="A66" s="184"/>
      <c r="B66" s="184"/>
      <c r="C66" s="184"/>
      <c r="D66" s="184"/>
      <c r="E66" s="184"/>
      <c r="F66" s="340"/>
      <c r="G66" s="184"/>
      <c r="H66" s="184"/>
      <c r="I66" s="184"/>
      <c r="J66" s="184"/>
      <c r="K66" s="184"/>
      <c r="L66" s="516"/>
      <c r="M66" s="347"/>
      <c r="N66" s="516"/>
      <c r="O66" s="184"/>
      <c r="P66" s="184"/>
      <c r="Q66" s="184"/>
      <c r="R66" s="184"/>
      <c r="S66" s="184"/>
      <c r="T66" s="516"/>
      <c r="U66" s="347"/>
    </row>
    <row r="67" spans="1:21" x14ac:dyDescent="0.25">
      <c r="H67" s="342"/>
      <c r="I67" s="342"/>
      <c r="K67" s="342"/>
      <c r="P67" s="342"/>
      <c r="Q67" s="342"/>
      <c r="S67" s="342"/>
    </row>
  </sheetData>
  <sheetProtection sheet="1" formatCells="0" formatColumns="0" formatRows="0"/>
  <mergeCells count="27">
    <mergeCell ref="O3:S21"/>
    <mergeCell ref="C6:K6"/>
    <mergeCell ref="B34:B35"/>
    <mergeCell ref="I8:J8"/>
    <mergeCell ref="I10:J11"/>
    <mergeCell ref="C13:K13"/>
    <mergeCell ref="C28:C29"/>
    <mergeCell ref="B26:B27"/>
    <mergeCell ref="B28:B31"/>
    <mergeCell ref="C34:C35"/>
    <mergeCell ref="C26:C27"/>
    <mergeCell ref="C15:K15"/>
    <mergeCell ref="C17:K17"/>
    <mergeCell ref="C19:K19"/>
    <mergeCell ref="C21:K21"/>
    <mergeCell ref="C36:C37"/>
    <mergeCell ref="C38:C39"/>
    <mergeCell ref="C30:C31"/>
    <mergeCell ref="B59:B62"/>
    <mergeCell ref="B63:B64"/>
    <mergeCell ref="C44:C46"/>
    <mergeCell ref="C42:C43"/>
    <mergeCell ref="C52:C53"/>
    <mergeCell ref="C59:C60"/>
    <mergeCell ref="C61:C64"/>
    <mergeCell ref="C54:C55"/>
    <mergeCell ref="C47:C48"/>
  </mergeCells>
  <conditionalFormatting sqref="F4:F5 F49 F7:F12 F26:F32 F34:F40 F42:F47 F51:F56 F58:F1048576">
    <cfRule type="containsText" dxfId="161" priority="29" operator="containsText" text="0">
      <formula>NOT(ISERROR(SEARCH("0",F4)))</formula>
    </cfRule>
  </conditionalFormatting>
  <conditionalFormatting sqref="F48">
    <cfRule type="containsText" dxfId="160" priority="25" operator="containsText" text="0">
      <formula>NOT(ISERROR(SEARCH("0",F48)))</formula>
    </cfRule>
  </conditionalFormatting>
  <conditionalFormatting sqref="F1 F3">
    <cfRule type="containsText" dxfId="159" priority="22" operator="containsText" text="0">
      <formula>NOT(ISERROR(SEARCH("0",F1)))</formula>
    </cfRule>
  </conditionalFormatting>
  <conditionalFormatting sqref="F2">
    <cfRule type="containsText" dxfId="158" priority="21" operator="containsText" text="0">
      <formula>NOT(ISERROR(SEARCH("0",F2)))</formula>
    </cfRule>
  </conditionalFormatting>
  <conditionalFormatting sqref="F57">
    <cfRule type="containsText" dxfId="157" priority="19" operator="containsText" text="0">
      <formula>NOT(ISERROR(SEARCH("0",F57)))</formula>
    </cfRule>
  </conditionalFormatting>
  <conditionalFormatting sqref="F50">
    <cfRule type="containsText" dxfId="156" priority="17" operator="containsText" text="0">
      <formula>NOT(ISERROR(SEARCH("0",F50)))</formula>
    </cfRule>
  </conditionalFormatting>
  <conditionalFormatting sqref="F41">
    <cfRule type="containsText" dxfId="155" priority="15" operator="containsText" text="0">
      <formula>NOT(ISERROR(SEARCH("0",F41)))</formula>
    </cfRule>
  </conditionalFormatting>
  <conditionalFormatting sqref="F33">
    <cfRule type="containsText" dxfId="154" priority="13" operator="containsText" text="0">
      <formula>NOT(ISERROR(SEARCH("0",F33)))</formula>
    </cfRule>
  </conditionalFormatting>
  <conditionalFormatting sqref="F25">
    <cfRule type="containsText" dxfId="153" priority="11" operator="containsText" text="0">
      <formula>NOT(ISERROR(SEARCH("0",F25)))</formula>
    </cfRule>
  </conditionalFormatting>
  <conditionalFormatting sqref="F14">
    <cfRule type="containsText" dxfId="152" priority="9" operator="containsText" text="0">
      <formula>NOT(ISERROR(SEARCH("0",F14)))</formula>
    </cfRule>
  </conditionalFormatting>
  <conditionalFormatting sqref="F16">
    <cfRule type="containsText" dxfId="151" priority="7" operator="containsText" text="0">
      <formula>NOT(ISERROR(SEARCH("0",F16)))</formula>
    </cfRule>
  </conditionalFormatting>
  <conditionalFormatting sqref="F18">
    <cfRule type="containsText" dxfId="150" priority="5" operator="containsText" text="0">
      <formula>NOT(ISERROR(SEARCH("0",F18)))</formula>
    </cfRule>
  </conditionalFormatting>
  <conditionalFormatting sqref="F20">
    <cfRule type="containsText" dxfId="149" priority="3" operator="containsText" text="0">
      <formula>NOT(ISERROR(SEARCH("0",F20)))</formula>
    </cfRule>
  </conditionalFormatting>
  <conditionalFormatting sqref="F24">
    <cfRule type="containsText" dxfId="148" priority="1" operator="containsText" text="0">
      <formula>NOT(ISERROR(SEARCH("0",F24)))</formula>
    </cfRule>
  </conditionalFormatting>
  <pageMargins left="0.7" right="0.7" top="0.75" bottom="0.75" header="0.3" footer="0.3"/>
  <pageSetup paperSize="9" scale="42" orientation="portrait" r:id="rId1"/>
  <rowBreaks count="1" manualBreakCount="1">
    <brk id="39" max="16383" man="1"/>
  </rowBreaks>
  <colBreaks count="1" manualBreakCount="1">
    <brk id="13" max="1048575" man="1"/>
  </colBreaks>
  <ignoredErrors>
    <ignoredError sqref="O31 O39 O48 O55 O64 O26 O27 O28 O29 O30 O34 O35 O36 O37 O38 O42 O43 O44 O45 O46 O47 O51 O52 O53 O54 O59 O60 O61 O62 O63 P26:S31 P34:S39 P42:S48 P51:S55 P59:S64" unlockedFormula="1"/>
  </ignoredErrors>
  <drawing r:id="rId2"/>
  <extLst>
    <ext xmlns:x14="http://schemas.microsoft.com/office/spreadsheetml/2009/9/main" uri="{78C0D931-6437-407d-A8EE-F0AAD7539E65}">
      <x14:conditionalFormattings>
        <x14:conditionalFormatting xmlns:xm="http://schemas.microsoft.com/office/excel/2006/main">
          <x14:cfRule type="iconSet" priority="30" id="{8BCB4737-1DBF-4151-AE0E-F320A5F799C9}">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F58:F1048576 F51:F56 F49 F4:F5 F7:F12 F26:F32 F34:F40 F42:F47</xm:sqref>
        </x14:conditionalFormatting>
        <x14:conditionalFormatting xmlns:xm="http://schemas.microsoft.com/office/excel/2006/main">
          <x14:cfRule type="iconSet" priority="26" id="{17C8C9C9-2BEC-4E25-B021-C7E6E6518B2B}">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F48</xm:sqref>
        </x14:conditionalFormatting>
        <x14:conditionalFormatting xmlns:xm="http://schemas.microsoft.com/office/excel/2006/main">
          <x14:cfRule type="iconSet" priority="23" id="{051209B8-0ADD-40DD-A98D-FF3550DDE4A1}">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F3 F1</xm:sqref>
        </x14:conditionalFormatting>
        <x14:conditionalFormatting xmlns:xm="http://schemas.microsoft.com/office/excel/2006/main">
          <x14:cfRule type="iconSet" priority="24" id="{044360E7-7D71-4093-9AC3-327CC9850EE0}">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F2</xm:sqref>
        </x14:conditionalFormatting>
        <x14:conditionalFormatting xmlns:xm="http://schemas.microsoft.com/office/excel/2006/main">
          <x14:cfRule type="iconSet" priority="20" id="{241E4C85-E0E2-4EB5-B3EA-3AE4A0C96506}">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F57</xm:sqref>
        </x14:conditionalFormatting>
        <x14:conditionalFormatting xmlns:xm="http://schemas.microsoft.com/office/excel/2006/main">
          <x14:cfRule type="iconSet" priority="18" id="{337411D7-511F-4C6D-9118-AEB5BA79A126}">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F50</xm:sqref>
        </x14:conditionalFormatting>
        <x14:conditionalFormatting xmlns:xm="http://schemas.microsoft.com/office/excel/2006/main">
          <x14:cfRule type="iconSet" priority="16" id="{3AA0A9A6-1101-4ED1-BE7F-3D3CAEBF5B6D}">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F41</xm:sqref>
        </x14:conditionalFormatting>
        <x14:conditionalFormatting xmlns:xm="http://schemas.microsoft.com/office/excel/2006/main">
          <x14:cfRule type="iconSet" priority="14" id="{77E56B86-AFEE-4065-AF12-95389BB7CE2A}">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F33</xm:sqref>
        </x14:conditionalFormatting>
        <x14:conditionalFormatting xmlns:xm="http://schemas.microsoft.com/office/excel/2006/main">
          <x14:cfRule type="iconSet" priority="12" id="{DB7C433E-D3CC-4DA2-AEDE-FE5D8435FD7B}">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F25</xm:sqref>
        </x14:conditionalFormatting>
        <x14:conditionalFormatting xmlns:xm="http://schemas.microsoft.com/office/excel/2006/main">
          <x14:cfRule type="iconSet" priority="10" id="{5EF21851-8FF4-4C92-BCFD-F2BF0C40A3DF}">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F14</xm:sqref>
        </x14:conditionalFormatting>
        <x14:conditionalFormatting xmlns:xm="http://schemas.microsoft.com/office/excel/2006/main">
          <x14:cfRule type="iconSet" priority="8" id="{B2F6CA16-BC8F-4124-9667-F8A8A50C81B2}">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F16</xm:sqref>
        </x14:conditionalFormatting>
        <x14:conditionalFormatting xmlns:xm="http://schemas.microsoft.com/office/excel/2006/main">
          <x14:cfRule type="iconSet" priority="6" id="{91209511-6BA0-406D-9946-80DB950446D9}">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F18</xm:sqref>
        </x14:conditionalFormatting>
        <x14:conditionalFormatting xmlns:xm="http://schemas.microsoft.com/office/excel/2006/main">
          <x14:cfRule type="iconSet" priority="4" id="{BE503D46-9918-4F2F-BE0B-5D200548592F}">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F20</xm:sqref>
        </x14:conditionalFormatting>
        <x14:conditionalFormatting xmlns:xm="http://schemas.microsoft.com/office/excel/2006/main">
          <x14:cfRule type="iconSet" priority="2" id="{E0DF4F83-14CB-4906-B2F0-012C580AAE6A}">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F24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Parameters!$B$18:$B$22</xm:f>
          </x14:formula1>
          <xm:sqref>G59:G64 G51:G55 G34:G39 G26:G31 G42:G48</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2" tint="0.79998168889431442"/>
  </sheetPr>
  <dimension ref="A1:U96"/>
  <sheetViews>
    <sheetView showGridLines="0" zoomScale="80" zoomScaleNormal="80" workbookViewId="0"/>
  </sheetViews>
  <sheetFormatPr defaultColWidth="9.26953125" defaultRowHeight="13.8" x14ac:dyDescent="0.25"/>
  <cols>
    <col min="1" max="2" width="1.6328125" style="187" customWidth="1"/>
    <col min="3" max="3" width="2.6328125" style="187" customWidth="1"/>
    <col min="4" max="4" width="3.1796875" style="341" customWidth="1"/>
    <col min="5" max="5" width="55.6328125" style="187" customWidth="1"/>
    <col min="6" max="6" width="2.6328125" style="327" customWidth="1"/>
    <col min="7" max="7" width="14.6328125" style="314" customWidth="1"/>
    <col min="8" max="8" width="30.6328125" customWidth="1"/>
    <col min="9" max="9" width="20.6328125" customWidth="1"/>
    <col min="10" max="10" width="20.6328125" style="342" customWidth="1"/>
    <col min="11" max="11" width="10.6328125" style="187" customWidth="1"/>
    <col min="12" max="12" width="1.6328125" style="343" customWidth="1"/>
    <col min="13" max="13" width="1.6328125" style="344" customWidth="1"/>
    <col min="14" max="14" width="1.6328125" style="343" customWidth="1"/>
    <col min="15" max="15" width="14.6328125" style="314" customWidth="1"/>
    <col min="16" max="16" width="30.6328125" customWidth="1"/>
    <col min="17" max="17" width="20.6328125" customWidth="1"/>
    <col min="18" max="18" width="20.6328125" style="342" customWidth="1"/>
    <col min="19" max="19" width="10.6328125" style="187" customWidth="1"/>
    <col min="20" max="20" width="1.6328125" style="343" customWidth="1"/>
    <col min="21" max="21" width="1.6328125" style="344" customWidth="1"/>
    <col min="22" max="16384" width="9.26953125" style="187"/>
  </cols>
  <sheetData>
    <row r="1" spans="1:21" s="143" customFormat="1" ht="11.4" x14ac:dyDescent="0.25">
      <c r="A1" s="138"/>
      <c r="B1" s="138"/>
      <c r="C1" s="138"/>
      <c r="D1" s="138"/>
      <c r="E1" s="138"/>
      <c r="F1" s="255"/>
      <c r="G1" s="254"/>
      <c r="H1" s="254"/>
      <c r="I1" s="254"/>
      <c r="J1" s="254"/>
      <c r="K1" s="254"/>
      <c r="L1" s="138"/>
      <c r="M1" s="138"/>
      <c r="N1" s="138"/>
      <c r="O1" s="254"/>
      <c r="P1" s="254"/>
      <c r="Q1" s="254"/>
      <c r="R1" s="254"/>
      <c r="S1" s="254"/>
      <c r="T1" s="138"/>
      <c r="U1" s="138"/>
    </row>
    <row r="2" spans="1:21" s="261" customFormat="1" ht="15" customHeight="1" x14ac:dyDescent="0.2">
      <c r="A2" s="256"/>
      <c r="B2" s="145"/>
      <c r="C2" s="257"/>
      <c r="D2" s="148"/>
      <c r="E2" s="258"/>
      <c r="F2" s="149"/>
      <c r="G2" s="259"/>
      <c r="H2" s="259"/>
      <c r="I2" s="259"/>
      <c r="J2" s="259"/>
      <c r="K2" s="259"/>
      <c r="L2" s="150"/>
      <c r="M2" s="256"/>
      <c r="N2" s="504"/>
      <c r="O2" s="890"/>
      <c r="P2" s="890"/>
      <c r="Q2" s="890"/>
      <c r="R2" s="890"/>
      <c r="S2" s="890"/>
      <c r="T2" s="891"/>
      <c r="U2" s="256"/>
    </row>
    <row r="3" spans="1:21" s="261" customFormat="1" ht="25.05" customHeight="1" x14ac:dyDescent="0.25">
      <c r="A3" s="256"/>
      <c r="B3" s="152"/>
      <c r="C3" s="153" t="s">
        <v>80</v>
      </c>
      <c r="D3" s="154"/>
      <c r="E3" s="436"/>
      <c r="F3" s="155"/>
      <c r="H3" s="272" t="str">
        <f>IF(VLOOKUP("GEN-TOTAL",Languages!$A:$D,1,TRUE)="GEN-TOTAL",VLOOKUP("GEN-TOTAL",Languages!$A:$D,Summary!$C$7,TRUE),NA())</f>
        <v>Kokonaisarvio</v>
      </c>
      <c r="I3" s="156" t="str">
        <f>IF(VLOOKUP("GEN-SEC",Languages!$A:$D,1,TRUE)="GEN-SEC",VLOOKUP("GEN-SEC",Languages!$A:$D,Summary!$C$7,TRUE),NA())</f>
        <v>Tiedon luokittelu</v>
      </c>
      <c r="J3" s="437"/>
      <c r="L3" s="157"/>
      <c r="M3" s="256"/>
      <c r="N3" s="892"/>
      <c r="O3" s="1219" t="str">
        <f>VLOOKUP($C$3,Infoimport!$B$4:$C$14,2,FALSE)</f>
        <v>ARCHITECTURE, tiedot Infoimport-välilehdeltä</v>
      </c>
      <c r="P3" s="1219"/>
      <c r="Q3" s="1219"/>
      <c r="R3" s="1219"/>
      <c r="S3" s="1219"/>
      <c r="T3" s="893"/>
      <c r="U3" s="256"/>
    </row>
    <row r="4" spans="1:21" s="322" customFormat="1" ht="25.05" customHeight="1" x14ac:dyDescent="0.3">
      <c r="A4" s="320"/>
      <c r="B4" s="321"/>
      <c r="C4" s="158" t="str">
        <f>IF(VLOOKUP($C$3,Languages!$A:$D,1,TRUE)=$C$3,VLOOKUP($C$3,Languages!$A:$D,Summary!$C$7,TRUE),NA())</f>
        <v>Kyberturvallisuusarkkitehtuuri (ARCHITECTURE)</v>
      </c>
      <c r="D4" s="262"/>
      <c r="E4" s="263"/>
      <c r="F4" s="324"/>
      <c r="G4" s="323"/>
      <c r="H4" s="265" t="str">
        <f ca="1">VLOOKUP(VLOOKUP(CONCATENATE($C$3),Data!$K:$O,5,FALSE),Parameters!$C$7:$F$10,Summary!$C$7,FALSE)</f>
        <v>Kypsyystaso 0</v>
      </c>
      <c r="I4" s="781"/>
      <c r="J4" s="266"/>
      <c r="K4" s="261"/>
      <c r="L4" s="157"/>
      <c r="M4" s="256"/>
      <c r="N4" s="892"/>
      <c r="O4" s="1219"/>
      <c r="P4" s="1219"/>
      <c r="Q4" s="1219"/>
      <c r="R4" s="1219"/>
      <c r="S4" s="1219"/>
      <c r="T4" s="893"/>
      <c r="U4" s="256"/>
    </row>
    <row r="5" spans="1:21" ht="10.050000000000001" customHeight="1" x14ac:dyDescent="0.25">
      <c r="A5" s="181"/>
      <c r="B5" s="312"/>
      <c r="C5" s="325"/>
      <c r="D5" s="326"/>
      <c r="E5" s="326"/>
      <c r="F5" s="265"/>
      <c r="G5" s="265"/>
      <c r="I5" s="266"/>
      <c r="J5" s="266"/>
      <c r="K5" s="261"/>
      <c r="L5" s="157"/>
      <c r="M5" s="256"/>
      <c r="N5" s="892"/>
      <c r="O5" s="1219"/>
      <c r="P5" s="1219"/>
      <c r="Q5" s="1219"/>
      <c r="R5" s="1219"/>
      <c r="S5" s="1219"/>
      <c r="T5" s="893"/>
      <c r="U5" s="256"/>
    </row>
    <row r="6" spans="1:21" ht="60" customHeight="1" x14ac:dyDescent="0.2">
      <c r="A6" s="181"/>
      <c r="B6" s="312"/>
      <c r="C6" s="1216" t="str">
        <f>IF(VLOOKUP(CONCATENATE(C3,"-0"),Languages!$A:$D,1,TRUE)=CONCATENATE(C3,"-0"),VLOOKUP(CONCATENATE(C3,"-0"),Languages!$A:$D,Summary!$C$7,TRUE),NA())</f>
        <v>Kyberturvallisuusarkkitehtuurin (eli kyberarkkitehtuurin) osiossa arvioidaan organisaation kykyä hallita ja ylläpitää kyberturvallisuustoimintaansa. Organisaation tulee luoda ja ylläpitää rakenteita, joilla se hallinnoi ja ohjaa organisaation kyberturvallisuuskontrolleja, -prosesseja ja muuta kyberturvallisuuden toimintaa suhteessa sekä organisaation omaisuuteen kohdistuviin riskeihin, että organisaation asettamiin tavoitteisiin.</v>
      </c>
      <c r="D6" s="1216"/>
      <c r="E6" s="1216"/>
      <c r="F6" s="1216"/>
      <c r="G6" s="1216"/>
      <c r="H6" s="1216"/>
      <c r="I6" s="1216"/>
      <c r="J6" s="1216"/>
      <c r="K6" s="1216"/>
      <c r="L6" s="157"/>
      <c r="M6" s="256"/>
      <c r="N6" s="892"/>
      <c r="O6" s="1219"/>
      <c r="P6" s="1219"/>
      <c r="Q6" s="1219"/>
      <c r="R6" s="1219"/>
      <c r="S6" s="1219"/>
      <c r="T6" s="893"/>
      <c r="U6" s="256"/>
    </row>
    <row r="7" spans="1:21" ht="14.4" customHeight="1" x14ac:dyDescent="0.2">
      <c r="A7" s="181"/>
      <c r="B7" s="312"/>
      <c r="C7" s="268">
        <v>1</v>
      </c>
      <c r="D7" s="269" t="s">
        <v>1</v>
      </c>
      <c r="E7" s="270" t="str">
        <f>IF(VLOOKUP(CONCATENATE($C$3,"-",C7),Languages!$A:$D,1,TRUE)=CONCATENATE($C$3,"-",C7),VLOOKUP(CONCATENATE($C$3,"-",C7),Languages!$A:$D,Summary!$C$7,TRUE),NA())</f>
        <v>Kyberarkkitehtuurin kehittäminen</v>
      </c>
      <c r="H7" s="271" t="str">
        <f ca="1">VLOOKUP(VLOOKUP(CONCATENATE($C$3,"-",$C7),Data!$K:$O,5,FALSE),Parameters!$C$7:$F$10,Summary!$C$7,FALSE)</f>
        <v>Kypsyystaso 0</v>
      </c>
      <c r="I7" s="505" t="str">
        <f>IF(VLOOKUP("KM110",Languages!$A:$D,1,TRUE)="KM110",VLOOKUP("KM110",Languages!$A:$D,Summary!$C$7,TRUE),NA())</f>
        <v>Päivämäärä</v>
      </c>
      <c r="J7" s="479"/>
      <c r="K7" s="261"/>
      <c r="L7" s="157"/>
      <c r="M7" s="256"/>
      <c r="N7" s="892"/>
      <c r="O7" s="1219"/>
      <c r="P7" s="1219"/>
      <c r="Q7" s="1219"/>
      <c r="R7" s="1219"/>
      <c r="S7" s="1219"/>
      <c r="T7" s="893"/>
      <c r="U7" s="256"/>
    </row>
    <row r="8" spans="1:21" ht="14.4" customHeight="1" x14ac:dyDescent="0.25">
      <c r="A8" s="181"/>
      <c r="B8" s="312"/>
      <c r="C8" s="268">
        <v>2</v>
      </c>
      <c r="D8" s="269" t="s">
        <v>1</v>
      </c>
      <c r="E8" s="270" t="str">
        <f>IF(VLOOKUP(CONCATENATE($C$3,"-",C8),Languages!$A:$D,1,TRUE)=CONCATENATE($C$3,"-",C8),VLOOKUP(CONCATENATE($C$3,"-",C8),Languages!$A:$D,Summary!$C$7,TRUE),NA())</f>
        <v>Tietoverkkojen suojaus osana kyberarkkitehtuuria</v>
      </c>
      <c r="F8" s="328"/>
      <c r="H8" s="271" t="str">
        <f ca="1">VLOOKUP(VLOOKUP(CONCATENATE($C$3,"-",$C8),Data!$K:$O,5,FALSE),Parameters!$C$7:$F$10,Summary!$C$7,FALSE)</f>
        <v>Kypsyystaso 0</v>
      </c>
      <c r="I8" s="1217"/>
      <c r="J8" s="1218"/>
      <c r="K8" s="261"/>
      <c r="L8" s="157"/>
      <c r="M8" s="256"/>
      <c r="N8" s="892"/>
      <c r="O8" s="1219"/>
      <c r="P8" s="1219"/>
      <c r="Q8" s="1219"/>
      <c r="R8" s="1219"/>
      <c r="S8" s="1219"/>
      <c r="T8" s="893"/>
      <c r="U8" s="256"/>
    </row>
    <row r="9" spans="1:21" ht="14.4" customHeight="1" x14ac:dyDescent="0.2">
      <c r="A9" s="181"/>
      <c r="B9" s="312"/>
      <c r="C9" s="268">
        <v>3</v>
      </c>
      <c r="D9" s="269" t="s">
        <v>1</v>
      </c>
      <c r="E9" s="270" t="str">
        <f>IF(VLOOKUP(CONCATENATE($C$3,"-",C9),Languages!$A:$D,1,TRUE)=CONCATENATE($C$3,"-",C9),VLOOKUP(CONCATENATE($C$3,"-",C9),Languages!$A:$D,Summary!$C$7,TRUE),NA())</f>
        <v>Laitteiden ja ohjelmistojen turvallisuus osana kyberarkkitehtuuria</v>
      </c>
      <c r="F9" s="329"/>
      <c r="H9" s="271" t="str">
        <f ca="1">VLOOKUP(VLOOKUP(CONCATENATE($C$3,"-",$C9),Data!$K:$O,5,FALSE),Parameters!$C$7:$F$10,Summary!$C$7,FALSE)</f>
        <v>Kypsyystaso 0</v>
      </c>
      <c r="I9" s="505" t="str">
        <f>IF(VLOOKUP("KM111",Languages!$A:$D,1,TRUE)="KM111",VLOOKUP("KM111",Languages!$A:$D,Summary!$C$7,TRUE),NA())</f>
        <v>Osallistujat</v>
      </c>
      <c r="J9" s="479"/>
      <c r="K9" s="261"/>
      <c r="L9" s="157"/>
      <c r="M9" s="256"/>
      <c r="N9" s="892"/>
      <c r="O9" s="1219"/>
      <c r="P9" s="1219"/>
      <c r="Q9" s="1219"/>
      <c r="R9" s="1219"/>
      <c r="S9" s="1219"/>
      <c r="T9" s="893"/>
      <c r="U9" s="256"/>
    </row>
    <row r="10" spans="1:21" ht="14.4" customHeight="1" x14ac:dyDescent="0.2">
      <c r="A10" s="181"/>
      <c r="B10" s="312"/>
      <c r="C10" s="268">
        <v>4</v>
      </c>
      <c r="D10" s="269" t="s">
        <v>1</v>
      </c>
      <c r="E10" s="270" t="str">
        <f>IF(VLOOKUP(CONCATENATE($C$3,"-",C10),Languages!$A:$D,1,TRUE)=CONCATENATE($C$3,"-",C10),VLOOKUP(CONCATENATE($C$3,"-",C10),Languages!$A:$D,Summary!$C$7,TRUE),NA())</f>
        <v>Sovellusturvallisuus osana kyberarkkitehtuuria</v>
      </c>
      <c r="F10" s="345"/>
      <c r="H10" s="271" t="str">
        <f ca="1">VLOOKUP(VLOOKUP(CONCATENATE($C$3,"-",$C10),Data!$K:$O,5,FALSE),Parameters!$C$7:$F$10,Summary!$C$7,FALSE)</f>
        <v>Kypsyystaso 1</v>
      </c>
      <c r="I10" s="1208"/>
      <c r="J10" s="1209"/>
      <c r="K10" s="261"/>
      <c r="L10" s="157"/>
      <c r="M10" s="256"/>
      <c r="N10" s="892"/>
      <c r="O10" s="1219"/>
      <c r="P10" s="1219"/>
      <c r="Q10" s="1219"/>
      <c r="R10" s="1219"/>
      <c r="S10" s="1219"/>
      <c r="T10" s="893"/>
      <c r="U10" s="256"/>
    </row>
    <row r="11" spans="1:21" ht="14.4" customHeight="1" x14ac:dyDescent="0.2">
      <c r="A11" s="181"/>
      <c r="B11" s="312"/>
      <c r="C11" s="268">
        <v>5</v>
      </c>
      <c r="D11" s="269" t="s">
        <v>1</v>
      </c>
      <c r="E11" s="270" t="str">
        <f>IF(VLOOKUP(CONCATENATE($C$3,"-",C11),Languages!$A:$D,1,TRUE)=CONCATENATE($C$3,"-",C11),VLOOKUP(CONCATENATE($C$3,"-",C11),Languages!$A:$D,Summary!$C$7,TRUE),NA())</f>
        <v>Tietojen suojaus osana kyberarkkitehtuuria</v>
      </c>
      <c r="F11" s="345"/>
      <c r="H11" s="271" t="str">
        <f ca="1">VLOOKUP(VLOOKUP(CONCATENATE($C$3,"-",$C11),Data!$K:$O,5,FALSE),Parameters!$C$7:$F$10,Summary!$C$7,FALSE)</f>
        <v>Kypsyystaso 0</v>
      </c>
      <c r="I11" s="1210"/>
      <c r="J11" s="1211"/>
      <c r="K11" s="261"/>
      <c r="L11" s="157"/>
      <c r="M11" s="256"/>
      <c r="N11" s="892"/>
      <c r="O11" s="1219"/>
      <c r="P11" s="1219"/>
      <c r="Q11" s="1219"/>
      <c r="R11" s="1219"/>
      <c r="S11" s="1219"/>
      <c r="T11" s="893"/>
      <c r="U11" s="256"/>
    </row>
    <row r="12" spans="1:21" ht="14.4" customHeight="1" x14ac:dyDescent="0.25">
      <c r="A12" s="181"/>
      <c r="B12" s="312"/>
      <c r="C12" s="268">
        <v>6</v>
      </c>
      <c r="D12" s="269" t="s">
        <v>1</v>
      </c>
      <c r="E12" s="270" t="str">
        <f>IF(VLOOKUP(CONCATENATE($C$3,"-",C12),Languages!$A:$D,1,TRUE)=CONCATENATE($C$3,"-",C12),VLOOKUP(CONCATENATE($C$3,"-",C12),Languages!$A:$D,Summary!$C$7,TRUE),NA())</f>
        <v>Yleisiä hallintatoimia</v>
      </c>
      <c r="F12" s="345"/>
      <c r="H12" s="271" t="str">
        <f ca="1">VLOOKUP(VLOOKUP(CONCATENATE($C$3,"-",$C12),Data!$K:$O,5,FALSE),Parameters!$C$7:$F$10,Summary!$C$7,FALSE)</f>
        <v>Kypsyystaso 1</v>
      </c>
      <c r="J12" s="330"/>
      <c r="K12" s="261"/>
      <c r="L12" s="157"/>
      <c r="M12" s="256"/>
      <c r="N12" s="892"/>
      <c r="O12" s="1219"/>
      <c r="P12" s="1219"/>
      <c r="Q12" s="1219"/>
      <c r="R12" s="1219"/>
      <c r="S12" s="1219"/>
      <c r="T12" s="893"/>
      <c r="U12" s="256"/>
    </row>
    <row r="13" spans="1:21" s="180" customFormat="1" ht="30" customHeight="1" x14ac:dyDescent="0.25">
      <c r="A13" s="169"/>
      <c r="B13" s="273"/>
      <c r="C13" s="173">
        <v>1</v>
      </c>
      <c r="D13" s="173" t="str">
        <f>IF(VLOOKUP(CONCATENATE($C$3,"-",C13),Languages!$A:$D,1,TRUE)=CONCATENATE($C$3,"-",C13),VLOOKUP(CONCATENATE($C$3,"-",C13),Languages!$A:$D,Summary!$C$7,TRUE),NA())</f>
        <v>Kyberarkkitehtuurin kehittäminen</v>
      </c>
      <c r="E13" s="173"/>
      <c r="F13" s="275"/>
      <c r="G13" s="275"/>
      <c r="H13" s="276"/>
      <c r="I13" s="276"/>
      <c r="J13" s="276"/>
      <c r="K13" s="276"/>
      <c r="L13" s="157"/>
      <c r="M13" s="256"/>
      <c r="N13" s="892"/>
      <c r="O13" s="1219"/>
      <c r="P13" s="1219"/>
      <c r="Q13" s="1219"/>
      <c r="R13" s="1219"/>
      <c r="S13" s="1219"/>
      <c r="T13" s="893"/>
      <c r="U13" s="256"/>
    </row>
    <row r="14" spans="1:21" s="282" customFormat="1" ht="84.45" customHeight="1" x14ac:dyDescent="0.2">
      <c r="A14" s="279"/>
      <c r="B14" s="280"/>
      <c r="C14" s="1223" t="str">
        <f>IF(VLOOKUP(CONCATENATE($C$3,"-",$C13,"-0"),Languages!$A:$D,1,TRUE)=CONCATENATE($C$3,"-",$C13,"-0"),VLOOKUP(CONCATENATE($C$3,"-",$C13,"-0"),Languages!$A:$D,Summary!$C$7,TRUE),NA())</f>
        <v>Kyberarkkitehtuuri luo edellytykset suunnitella ja kehittää organisaation kyberturvallisuutta kokonaisuutena pistemäisten ratkaisuiden, kuten yksittäisten identiteetin- tai pääsynhallintaratkaisujen, sijasta. Kyberarkkitehtuurin avulla voidaan lähestyä kriittisten järjestelmien ja tiedon suojaamista tunnettujen arkkitehtuurimenetelmien kautta (esim. tunnistaminen-suojautuminen-reagointi-palautuminen). Tällaisiin menetelmiin kuuluvat mm. verkkojen segmentointi, ylläpitoratkaisut, salausmenetelmät ja jäljityslokit ja niitä voidaan käyttää yhdessä saatavuuteen liittyvien menetelmien kuten monitoroinnin, palautusmenetelmien tai varmennuksen kanssa. Kun kyberarkkitehtuuri suunnitellaan toimimaan yhdessä organisaation yritysarkkitehtuuristrategian kanssa (myös "kokonaisarkkitehtuuri"), toimii se syötteenä mm. riskianalyyseille ja suojattavien kohteiden konfiguroinnille.</v>
      </c>
      <c r="D14" s="1223"/>
      <c r="E14" s="1223"/>
      <c r="F14" s="1223"/>
      <c r="G14" s="1223"/>
      <c r="H14" s="1223"/>
      <c r="I14" s="1223"/>
      <c r="J14" s="1223"/>
      <c r="K14" s="1223"/>
      <c r="L14" s="157"/>
      <c r="M14" s="256"/>
      <c r="N14" s="892"/>
      <c r="O14" s="1219"/>
      <c r="P14" s="1219"/>
      <c r="Q14" s="1219"/>
      <c r="R14" s="1219"/>
      <c r="S14" s="1219"/>
      <c r="T14" s="893"/>
      <c r="U14" s="256"/>
    </row>
    <row r="15" spans="1:21" s="180" customFormat="1" ht="30" customHeight="1" x14ac:dyDescent="0.25">
      <c r="A15" s="169"/>
      <c r="B15" s="273"/>
      <c r="C15" s="173">
        <v>2</v>
      </c>
      <c r="D15" s="173" t="str">
        <f>IF(VLOOKUP(CONCATENATE($C$3,"-",C15),Languages!$A:$D,1,TRUE)=CONCATENATE($C$3,"-",C15),VLOOKUP(CONCATENATE($C$3,"-",C15),Languages!$A:$D,Summary!$C$7,TRUE),NA())</f>
        <v>Tietoverkkojen suojaus osana kyberarkkitehtuuria</v>
      </c>
      <c r="E15" s="173"/>
      <c r="F15" s="296"/>
      <c r="G15" s="296" t="s">
        <v>16</v>
      </c>
      <c r="H15" s="297"/>
      <c r="I15" s="297"/>
      <c r="J15" s="297"/>
      <c r="K15" s="297"/>
      <c r="L15" s="157"/>
      <c r="M15" s="256"/>
      <c r="N15" s="892"/>
      <c r="O15" s="1219"/>
      <c r="P15" s="1219"/>
      <c r="Q15" s="1219"/>
      <c r="R15" s="1219"/>
      <c r="S15" s="1219"/>
      <c r="T15" s="893"/>
      <c r="U15" s="256"/>
    </row>
    <row r="16" spans="1:21" s="282" customFormat="1" ht="30" customHeight="1" x14ac:dyDescent="0.2">
      <c r="A16" s="279"/>
      <c r="B16" s="280"/>
      <c r="C16" s="1223" t="str">
        <f>IF(VLOOKUP(CONCATENATE($C$3,"-",$C15,"-0"),Languages!$A:$D,1,TRUE)=CONCATENATE($C$3,"-",$C15,"-0"),VLOOKUP(CONCATENATE($C$3,"-",$C15,"-0"),Languages!$A:$D,Summary!$C$7,TRUE),NA())</f>
        <v>Verkkojen segmentointi voidaan toteuttaa fyysisellä ja/tai loogisella tasolla ja sen tarkoitus on pienentää hyökkäyspinta-alaa. Optimitilanteessa jokaiselle laitteelle on perusteltu syy sen sijoittamiseen tiettyyn verkkosegmenttiin.</v>
      </c>
      <c r="D16" s="1223"/>
      <c r="E16" s="1223"/>
      <c r="F16" s="1223"/>
      <c r="G16" s="1223"/>
      <c r="H16" s="1223"/>
      <c r="I16" s="1223"/>
      <c r="J16" s="1223"/>
      <c r="K16" s="1223"/>
      <c r="L16" s="157"/>
      <c r="M16" s="256"/>
      <c r="N16" s="892"/>
      <c r="O16" s="1219"/>
      <c r="P16" s="1219"/>
      <c r="Q16" s="1219"/>
      <c r="R16" s="1219"/>
      <c r="S16" s="1219"/>
      <c r="T16" s="893"/>
      <c r="U16" s="256"/>
    </row>
    <row r="17" spans="1:21" s="180" customFormat="1" ht="30" customHeight="1" x14ac:dyDescent="0.25">
      <c r="A17" s="169"/>
      <c r="B17" s="273"/>
      <c r="C17" s="173">
        <v>3</v>
      </c>
      <c r="D17" s="173" t="str">
        <f>IF(VLOOKUP(CONCATENATE($C$3,"-",C17),Languages!$A:$D,1,TRUE)=CONCATENATE($C$3,"-",C17),VLOOKUP(CONCATENATE($C$3,"-",C17),Languages!$A:$D,Summary!$C$7,TRUE),NA())</f>
        <v>Laitteiden ja ohjelmistojen turvallisuus osana kyberarkkitehtuuria</v>
      </c>
      <c r="E17" s="173"/>
      <c r="F17" s="296"/>
      <c r="G17" s="296" t="s">
        <v>16</v>
      </c>
      <c r="H17" s="297"/>
      <c r="I17" s="297"/>
      <c r="J17" s="297"/>
      <c r="K17" s="297"/>
      <c r="L17" s="157"/>
      <c r="M17" s="256"/>
      <c r="N17" s="892"/>
      <c r="O17" s="1219"/>
      <c r="P17" s="1219"/>
      <c r="Q17" s="1219"/>
      <c r="R17" s="1219"/>
      <c r="S17" s="1219"/>
      <c r="T17" s="893"/>
      <c r="U17" s="256"/>
    </row>
    <row r="18" spans="1:21" s="300" customFormat="1" ht="30" customHeight="1" x14ac:dyDescent="0.2">
      <c r="A18" s="309"/>
      <c r="B18" s="713"/>
      <c r="C18" s="1223" t="str">
        <f>IF(VLOOKUP(CONCATENATE($C$3,"-",$C17,"-0"),Languages!$A:$D,1,TRUE)=CONCATENATE($C$3,"-",$C17,"-0"),VLOOKUP(CONCATENATE($C$3,"-",$C17,"-0"),Languages!$A:$D,Summary!$C$7,TRUE),NA())</f>
        <v>Riittävät ja tarkoituksenmukaiset suojausmekanismit on toteutettu toiminnan kannalta tärkeille laitteille, ohjelmistoille ja tietovarannoille, ottaen huomioon niiden kriittisyyden. Pääsyoikeudet on rajattu ja vain tarvittavat toiminnot on aktivoitu. Vakioituja ja turvallisia konfiguraatioita käytetään. Tietoturvaohjelmistoja ja -komponentteja käytetään soveltuvin osin.</v>
      </c>
      <c r="D18" s="1223"/>
      <c r="E18" s="1223"/>
      <c r="F18" s="1223"/>
      <c r="G18" s="1223"/>
      <c r="H18" s="1223"/>
      <c r="I18" s="1223"/>
      <c r="J18" s="1223"/>
      <c r="K18" s="1223"/>
      <c r="L18" s="157"/>
      <c r="M18" s="256"/>
      <c r="N18" s="892"/>
      <c r="O18" s="1219"/>
      <c r="P18" s="1219"/>
      <c r="Q18" s="1219"/>
      <c r="R18" s="1219"/>
      <c r="S18" s="1219"/>
      <c r="T18" s="893"/>
      <c r="U18" s="256"/>
    </row>
    <row r="19" spans="1:21" s="180" customFormat="1" ht="30" customHeight="1" x14ac:dyDescent="0.25">
      <c r="A19" s="169"/>
      <c r="B19" s="273"/>
      <c r="C19" s="173">
        <v>4</v>
      </c>
      <c r="D19" s="173" t="str">
        <f>IF(VLOOKUP(CONCATENATE($C$3,"-",C19),Languages!$A:$D,1,TRUE)=CONCATENATE($C$3,"-",C19),VLOOKUP(CONCATENATE($C$3,"-",C19),Languages!$A:$D,Summary!$C$7,TRUE),NA())</f>
        <v>Sovellusturvallisuus osana kyberarkkitehtuuria</v>
      </c>
      <c r="E19" s="173"/>
      <c r="F19" s="296"/>
      <c r="G19" s="296" t="s">
        <v>16</v>
      </c>
      <c r="H19" s="297"/>
      <c r="I19" s="297"/>
      <c r="J19" s="297"/>
      <c r="K19" s="297"/>
      <c r="L19" s="157"/>
      <c r="M19" s="256"/>
      <c r="N19" s="892"/>
      <c r="O19" s="1219"/>
      <c r="P19" s="1219"/>
      <c r="Q19" s="1219"/>
      <c r="R19" s="1219"/>
      <c r="S19" s="1219"/>
      <c r="T19" s="893"/>
      <c r="U19" s="256"/>
    </row>
    <row r="20" spans="1:21" s="300" customFormat="1" ht="30" customHeight="1" x14ac:dyDescent="0.2">
      <c r="A20" s="309"/>
      <c r="B20" s="713"/>
      <c r="C20" s="1223" t="str">
        <f>IF(VLOOKUP(CONCATENATE($C$3,"-",$C19,"-0"),Languages!$A:$D,1,TRUE)=CONCATENATE($C$3,"-",$C19,"-0"),VLOOKUP(CONCATENATE($C$3,"-",$C19,"-0"),Languages!$A:$D,Summary!$C$7,TRUE),NA())</f>
        <v>Sovellusturvallisuus on keskeisessä roolissa kyberarkkitehtuurissa, kun suojataan käyttäjiä ja tietoa. Kehitettävien sovelluksien tulee olla sietokykyisiä myös epäsuotuisissa olosuhteissa ja väärinkäyttöä vastaan. Sovellusturvallisuus tulee huomioida myös käytettäessä kolmansien osapuolien ratkaisuja.</v>
      </c>
      <c r="D20" s="1223"/>
      <c r="E20" s="1223"/>
      <c r="F20" s="1223"/>
      <c r="G20" s="1223"/>
      <c r="H20" s="1223"/>
      <c r="I20" s="1223"/>
      <c r="J20" s="1223"/>
      <c r="K20" s="1223"/>
      <c r="L20" s="157"/>
      <c r="M20" s="256"/>
      <c r="N20" s="892"/>
      <c r="O20" s="1219"/>
      <c r="P20" s="1219"/>
      <c r="Q20" s="1219"/>
      <c r="R20" s="1219"/>
      <c r="S20" s="1219"/>
      <c r="T20" s="893"/>
      <c r="U20" s="256"/>
    </row>
    <row r="21" spans="1:21" s="180" customFormat="1" ht="30" customHeight="1" x14ac:dyDescent="0.25">
      <c r="A21" s="169"/>
      <c r="B21" s="273"/>
      <c r="C21" s="173">
        <v>5</v>
      </c>
      <c r="D21" s="173" t="str">
        <f>IF(VLOOKUP(CONCATENATE($C$3,"-",C21),Languages!$A:$D,1,TRUE)=CONCATENATE($C$3,"-",C21),VLOOKUP(CONCATENATE($C$3,"-",C21),Languages!$A:$D,Summary!$C$7,TRUE),NA())</f>
        <v>Tietojen suojaus osana kyberarkkitehtuuria</v>
      </c>
      <c r="E21" s="173"/>
      <c r="F21" s="296"/>
      <c r="G21" s="296" t="s">
        <v>16</v>
      </c>
      <c r="H21" s="297"/>
      <c r="I21" s="297"/>
      <c r="J21" s="297"/>
      <c r="K21" s="297"/>
      <c r="L21" s="157"/>
      <c r="M21" s="256"/>
      <c r="N21" s="892"/>
      <c r="O21" s="1219"/>
      <c r="P21" s="1219"/>
      <c r="Q21" s="1219"/>
      <c r="R21" s="1219"/>
      <c r="S21" s="1219"/>
      <c r="T21" s="893"/>
      <c r="U21" s="256"/>
    </row>
    <row r="22" spans="1:21" s="300" customFormat="1" ht="30" customHeight="1" x14ac:dyDescent="0.2">
      <c r="A22" s="309"/>
      <c r="B22" s="713"/>
      <c r="C22" s="1223" t="str">
        <f>IF(VLOOKUP(CONCATENATE($C$3,"-",$C21,"-0"),Languages!$A:$D,1,TRUE)=CONCATENATE($C$3,"-",$C21,"-0"),VLOOKUP(CONCATENATE($C$3,"-",$C21,"-0"),Languages!$A:$D,Summary!$C$7,TRUE),NA())</f>
        <v>Kyberarkkitehtuuri rakentuu suojattavan tiedon ympärille. Jotta sensitiivistä tietoa voidaan suojata, tulee se ensin tunnistaa ja luokitella. Suojaamiseen käytettävien kontrollien ja keinojen, kuten salauksen ja avaintenhallinnan prosessien, tulee olla toteutettu ja systemaattisessa käytössä.</v>
      </c>
      <c r="D22" s="1223"/>
      <c r="E22" s="1223"/>
      <c r="F22" s="1223"/>
      <c r="G22" s="1223"/>
      <c r="H22" s="1223"/>
      <c r="I22" s="1223"/>
      <c r="J22" s="1223"/>
      <c r="K22" s="1223"/>
      <c r="L22" s="157"/>
      <c r="M22" s="256"/>
      <c r="N22" s="892"/>
      <c r="O22" s="1219"/>
      <c r="P22" s="1219"/>
      <c r="Q22" s="1219"/>
      <c r="R22" s="1219"/>
      <c r="S22" s="1219"/>
      <c r="T22" s="893"/>
      <c r="U22" s="256"/>
    </row>
    <row r="23" spans="1:21" s="180" customFormat="1" ht="30" customHeight="1" x14ac:dyDescent="0.25">
      <c r="A23" s="169"/>
      <c r="B23" s="273"/>
      <c r="C23" s="173">
        <v>6</v>
      </c>
      <c r="D23" s="173" t="str">
        <f>IF(VLOOKUP(CONCATENATE($C$3,"-",C23),Languages!$A:$D,1,TRUE)=CONCATENATE($C$3,"-",C23),VLOOKUP(CONCATENATE($C$3,"-",C23),Languages!$A:$D,Summary!$C$7,TRUE),NA())</f>
        <v>Yleisiä hallintatoimia</v>
      </c>
      <c r="E23" s="173"/>
      <c r="F23" s="296"/>
      <c r="G23" s="296" t="s">
        <v>16</v>
      </c>
      <c r="H23" s="297"/>
      <c r="I23" s="297"/>
      <c r="J23" s="297"/>
      <c r="K23" s="297"/>
      <c r="L23" s="157"/>
      <c r="M23" s="256"/>
      <c r="N23" s="892"/>
      <c r="O23" s="1219"/>
      <c r="P23" s="1219"/>
      <c r="Q23" s="1219"/>
      <c r="R23" s="1219"/>
      <c r="S23" s="1219"/>
      <c r="T23" s="893"/>
      <c r="U23" s="256"/>
    </row>
    <row r="24" spans="1:21" s="282" customFormat="1" ht="49.8" customHeight="1" x14ac:dyDescent="0.2">
      <c r="A24" s="309"/>
      <c r="B24" s="310"/>
      <c r="C24" s="1223" t="str">
        <f>IF(VLOOKUP(CONCATENATE($C$3,"-",$C23,"-0"),Languages!$A:$D,1,TRUE)=CONCATENATE($C$3,"-",$C23,"-0"),VLOOKUP(CONCATENATE($C$3,"-",$C23,"-0"),Languages!$A:$D,Summary!$C$7,TRUE),NA())</f>
        <v>Yleisillä hallintatoimilla arvioidaan sitä, kuinka syvällisesti osion kyberturvallisuuskäytännöt ovat juurtuneet osaksi organisaation toimintaa. Mitä syvemmin käytännöt ovat osa organisaation päivittäistä tekemistä sitä todennäköisempää on, että organisaatio noudattaa niitä myös kriisitilanteissa ja ajan kuluessa. Toisin sanoen, toiminta säilyy säännöllisenä, toistettavana ja korkealaatuisena.</v>
      </c>
      <c r="D24" s="1223"/>
      <c r="E24" s="1223"/>
      <c r="F24" s="1223"/>
      <c r="G24" s="1223"/>
      <c r="H24" s="1223"/>
      <c r="I24" s="1223"/>
      <c r="J24" s="1223"/>
      <c r="K24" s="1223"/>
      <c r="L24" s="157"/>
      <c r="M24" s="256"/>
      <c r="N24" s="894"/>
      <c r="O24" s="1220"/>
      <c r="P24" s="1220"/>
      <c r="Q24" s="1220"/>
      <c r="R24" s="1220"/>
      <c r="S24" s="1220"/>
      <c r="T24" s="895"/>
      <c r="U24" s="256"/>
    </row>
    <row r="25" spans="1:21" s="282" customFormat="1" ht="18" customHeight="1" x14ac:dyDescent="0.25">
      <c r="A25" s="309"/>
      <c r="B25" s="734"/>
      <c r="C25" s="734"/>
      <c r="D25" s="734"/>
      <c r="E25" s="734"/>
      <c r="F25" s="734"/>
      <c r="G25" s="734"/>
      <c r="H25" s="734"/>
      <c r="I25" s="734"/>
      <c r="J25" s="734"/>
      <c r="K25" s="734"/>
      <c r="L25" s="735"/>
      <c r="M25" s="138"/>
      <c r="N25" s="138"/>
      <c r="O25" s="255"/>
      <c r="P25" s="254"/>
      <c r="Q25" s="855"/>
      <c r="R25" s="254"/>
      <c r="S25" s="254"/>
      <c r="T25" s="138"/>
      <c r="U25" s="138"/>
    </row>
    <row r="26" spans="1:21" s="282" customFormat="1" ht="19.95" customHeight="1" x14ac:dyDescent="0.2">
      <c r="A26" s="309"/>
      <c r="B26" s="723"/>
      <c r="C26" s="721"/>
      <c r="D26" s="721"/>
      <c r="E26" s="721"/>
      <c r="F26" s="721"/>
      <c r="G26" s="721"/>
      <c r="H26" s="721"/>
      <c r="I26" s="721"/>
      <c r="J26" s="721"/>
      <c r="K26" s="721"/>
      <c r="L26" s="722"/>
      <c r="M26" s="256"/>
      <c r="N26" s="504" t="str">
        <f>IF(VLOOKUP("KM116",Languages!$A:$D,1,TRUE)="KM116",VLOOKUP("KM116",Languages!$A:$D,Summary!$C$7,TRUE),NA())</f>
        <v>EDELLINEN ARVIOINTI</v>
      </c>
      <c r="O26" s="442"/>
      <c r="P26" s="259"/>
      <c r="Q26" s="856" t="str">
        <f>IF(VLOOKUP("KM110",Languages!$A:$D,1,TRUE)="KM110",VLOOKUP("KM110",Languages!$A:$D,Summary!$C$7,TRUE),NA())</f>
        <v>Päivämäärä</v>
      </c>
      <c r="R26" s="259"/>
      <c r="S26" s="259"/>
      <c r="T26" s="150"/>
      <c r="U26" s="256"/>
    </row>
    <row r="27" spans="1:21" s="180" customFormat="1" ht="19.95" customHeight="1" x14ac:dyDescent="0.25">
      <c r="A27" s="169"/>
      <c r="B27" s="273"/>
      <c r="C27" s="173">
        <v>1</v>
      </c>
      <c r="D27" s="173" t="str">
        <f>IF(VLOOKUP(CONCATENATE($C$3,"-",C27),Languages!$A:$D,1,TRUE)=CONCATENATE($C$3,"-",C27),VLOOKUP(CONCATENATE($C$3,"-",C27),Languages!$A:$D,Summary!$C$7,TRUE),NA())</f>
        <v>Kyberarkkitehtuurin kehittäminen</v>
      </c>
      <c r="E27" s="173"/>
      <c r="F27" s="275"/>
      <c r="G27" s="275"/>
      <c r="H27" s="276"/>
      <c r="I27" s="276"/>
      <c r="J27" s="276"/>
      <c r="K27" s="276"/>
      <c r="L27" s="157"/>
      <c r="M27" s="309"/>
      <c r="N27" s="310"/>
      <c r="O27" s="443"/>
      <c r="P27" s="438"/>
      <c r="Q27" s="781"/>
      <c r="R27" s="854"/>
      <c r="S27" s="854"/>
      <c r="T27" s="281"/>
      <c r="U27" s="309"/>
    </row>
    <row r="28" spans="1:21" s="289" customFormat="1" ht="19.95" customHeight="1" x14ac:dyDescent="0.2">
      <c r="A28" s="308"/>
      <c r="B28" s="283"/>
      <c r="C28" s="284" t="str">
        <f>IF(VLOOKUP("GEN-LEVEL",Languages!$A:$D,1,TRUE)="GEN-LEVEL",VLOOKUP("GEN-LEVEL",Languages!$A:$D,Summary!$C$7,TRUE),NA())</f>
        <v>Taso</v>
      </c>
      <c r="D28" s="284"/>
      <c r="E28" s="285" t="str">
        <f>IF(VLOOKUP("GEN-PRACTICE",Languages!$A:$D,1,TRUE)="GEN-PRACTICE",VLOOKUP("GEN-PRACTICE",Languages!$A:$D,Summary!$C$7,TRUE),NA())</f>
        <v>Käytäntö</v>
      </c>
      <c r="F28" s="286"/>
      <c r="G28" s="1003" t="str">
        <f>IF(VLOOKUP("GEN-ANSWER",Languages!$A:$D,1,TRUE)="GEN-ANSWER",VLOOKUP("GEN-ANSWER",Languages!$A:$D,Summary!$C$7,TRUE),NA())</f>
        <v>Vastaus</v>
      </c>
      <c r="H28" s="1004" t="str">
        <f>IF(VLOOKUP("KM112",Languages!$A:$D,1,TRUE)="KM112",VLOOKUP("KM112",Languages!$A:$D,Summary!$C$7,TRUE),NA())</f>
        <v>Kommentit</v>
      </c>
      <c r="I28" s="1004" t="str">
        <f>IF(VLOOKUP("KM113",Languages!$A:$D,1,TRUE)="KM113",VLOOKUP("KM113",Languages!$A:$D,Summary!$C$7,TRUE),NA())</f>
        <v>Sisäinen viittaus</v>
      </c>
      <c r="J28" s="1004" t="str">
        <f>IF(VLOOKUP("KM114",Languages!$A:$D,1,TRUE)="KM114",VLOOKUP("KM114",Languages!$A:$D,Summary!$C$7,TRUE),NA())</f>
        <v>Ulkoinen viittaus</v>
      </c>
      <c r="K28" s="1004" t="str">
        <f>IF(VLOOKUP("KM115",Languages!$A:$D,1,TRUE)="KM115",VLOOKUP("KM115",Languages!$A:$D,Summary!$C$7,TRUE),NA())</f>
        <v>Kehityskohde</v>
      </c>
      <c r="L28" s="287"/>
      <c r="M28" s="288"/>
      <c r="N28" s="283"/>
      <c r="O28" s="503" t="str">
        <f>IF(VLOOKUP("GEN-ANSWER",Languages!$A:$D,1,TRUE)="GEN-ANSWER",VLOOKUP("GEN-ANSWER",Languages!$A:$D,Summary!$C$7,TRUE),NA())</f>
        <v>Vastaus</v>
      </c>
      <c r="P28" s="503" t="str">
        <f>IF(VLOOKUP("KM112",Languages!$A:$D,1,TRUE)="KM112",VLOOKUP("KM112",Languages!$A:$D,Summary!$C$7,TRUE),NA())</f>
        <v>Kommentit</v>
      </c>
      <c r="Q28" s="503" t="str">
        <f>IF(VLOOKUP("KM113",Languages!$A:$D,1,TRUE)="KM113",VLOOKUP("KM113",Languages!$A:$D,Summary!$C$7,TRUE),NA())</f>
        <v>Sisäinen viittaus</v>
      </c>
      <c r="R28" s="503" t="str">
        <f>IF(VLOOKUP("KM114",Languages!$A:$D,1,TRUE)="KM114",VLOOKUP("KM114",Languages!$A:$D,Summary!$C$7,TRUE),NA())</f>
        <v>Ulkoinen viittaus</v>
      </c>
      <c r="S28" s="503" t="str">
        <f>IF(VLOOKUP("KM115",Languages!$A:$D,1,TRUE)="KM115",VLOOKUP("KM115",Languages!$A:$D,Summary!$C$7,TRUE),NA())</f>
        <v>Kehityskohde</v>
      </c>
      <c r="T28" s="287"/>
      <c r="U28" s="288"/>
    </row>
    <row r="29" spans="1:21" s="293" customFormat="1" ht="67.2" customHeight="1" x14ac:dyDescent="0.2">
      <c r="A29" s="279"/>
      <c r="B29" s="426"/>
      <c r="C29" s="566">
        <v>1</v>
      </c>
      <c r="D29" s="400" t="s">
        <v>5</v>
      </c>
      <c r="E29" s="506" t="str">
        <f>IF(VLOOKUP(CONCATENATE($C$3,"-",$D29),Languages!$A:$D,1,TRUE)=CONCATENATE($C$3,"-",$D29),VLOOKUP(CONCATENATE($C$3,"-",$D29),Languages!$A:$D,Summary!$C$7,TRUE),NA())</f>
        <v>Organisaatiolla on suunnitelma tai strategia kyberarkkitehtuurin kehittämiselle (joka sisältää esimerkiksi kyberarkkitehtuurin tavoitteet, prioriteetit, vastuut ja seurannan). Tasolla 1 sen kehittämisen ja ylläpidon ei tarvitse olla systemaattista ja säännöllistä.</v>
      </c>
      <c r="F29" s="401">
        <f t="shared" ref="F29:F38" si="0">IFERROR(INT(LEFT($G29,1)),0)</f>
        <v>0</v>
      </c>
      <c r="G29" s="496"/>
      <c r="H29" s="526"/>
      <c r="I29" s="526"/>
      <c r="J29" s="526"/>
      <c r="K29" s="527"/>
      <c r="L29" s="157"/>
      <c r="M29" s="256"/>
      <c r="N29" s="152"/>
      <c r="O29" s="985" t="str">
        <f>VLOOKUP(VLOOKUP($C$3&amp;"-"&amp;$D29,Import!$C:$D,2,FALSE),Parameters!$C$18:$F$22,Summary!$C$7,FALSE)</f>
        <v xml:space="preserve">0 - Vastaus puuttuu </v>
      </c>
      <c r="P29" s="1010" t="str">
        <f>IF(VLOOKUP($C$3&amp;"-"&amp;$D29,Import!$C:$H,3,FALSE)=0,"",VLOOKUP($C$3&amp;"-"&amp;$D29,Import!$C:$H,3,FALSE))</f>
        <v/>
      </c>
      <c r="Q29" s="1010" t="str">
        <f>IF(VLOOKUP($C$3&amp;"-"&amp;$D29,Import!$C:$H,4,FALSE)=0,"",VLOOKUP($C$3&amp;"-"&amp;$D29,Import!$C:$H,4,FALSE))</f>
        <v/>
      </c>
      <c r="R29" s="1010" t="str">
        <f>IF(VLOOKUP($C$3&amp;"-"&amp;$D29,Import!$C:$H,5,FALSE)=0,"",VLOOKUP($C$3&amp;"-"&amp;$D29,Import!$C:$H,5,FALSE))</f>
        <v/>
      </c>
      <c r="S29" s="1011" t="str">
        <f>IF(VLOOKUP($C$3&amp;"-"&amp;$D29,Import!$C:$H,6,FALSE)=0,"",VLOOKUP($C$3&amp;"-"&amp;$D29,Import!$C:$H,6,FALSE))</f>
        <v/>
      </c>
      <c r="T29" s="157"/>
      <c r="U29" s="256"/>
    </row>
    <row r="30" spans="1:21" s="293" customFormat="1" ht="81.599999999999994" customHeight="1" x14ac:dyDescent="0.2">
      <c r="A30" s="279"/>
      <c r="B30" s="426"/>
      <c r="C30" s="1231">
        <v>2</v>
      </c>
      <c r="D30" s="543" t="s">
        <v>7</v>
      </c>
      <c r="E30" s="515" t="str">
        <f>IF(VLOOKUP(CONCATENATE($C$3,"-",$D30),Languages!$A:$D,1,TRUE)=CONCATENATE($C$3,"-",$D30),VLOOKUP(CONCATENATE($C$3,"-",$D30),Languages!$A:$D,Summary!$C$7,TRUE),NA())</f>
        <v>Kyberarkkitehtuurin kehittämiseksi on määritetty suunnitelma tai strategia, jota ylläpidetään. Kyberarkkitehtuurin kehittämissuunnitelma tukee organisaation kyberturvallisuusstrategiaa [kts. PROGRAM-1b] ja yritysarkkitehtuuria (myös "kokonaisarkkitehtuuri") sekä noudattaa niiden periaatteita ja vaatimuksia.</v>
      </c>
      <c r="F30" s="405">
        <f t="shared" si="0"/>
        <v>0</v>
      </c>
      <c r="G30" s="531"/>
      <c r="H30" s="544"/>
      <c r="I30" s="544"/>
      <c r="J30" s="544"/>
      <c r="K30" s="545"/>
      <c r="L30" s="157"/>
      <c r="M30" s="256"/>
      <c r="N30" s="152"/>
      <c r="O30" s="1012" t="str">
        <f>VLOOKUP(VLOOKUP($C$3&amp;"-"&amp;$D30,Import!$C:$D,2,FALSE),Parameters!$C$18:$F$22,Summary!$C$7,FALSE)</f>
        <v xml:space="preserve">0 - Vastaus puuttuu </v>
      </c>
      <c r="P30" s="1013" t="str">
        <f>IF(VLOOKUP($C$3&amp;"-"&amp;$D30,Import!$C:$H,3,FALSE)=0,"",VLOOKUP($C$3&amp;"-"&amp;$D30,Import!$C:$H,3,FALSE))</f>
        <v/>
      </c>
      <c r="Q30" s="1013" t="str">
        <f>IF(VLOOKUP($C$3&amp;"-"&amp;$D30,Import!$C:$H,4,FALSE)=0,"",VLOOKUP($C$3&amp;"-"&amp;$D30,Import!$C:$H,4,FALSE))</f>
        <v/>
      </c>
      <c r="R30" s="1013" t="str">
        <f>IF(VLOOKUP($C$3&amp;"-"&amp;$D30,Import!$C:$H,5,FALSE)=0,"",VLOOKUP($C$3&amp;"-"&amp;$D30,Import!$C:$H,5,FALSE))</f>
        <v/>
      </c>
      <c r="S30" s="1014" t="str">
        <f>IF(VLOOKUP($C$3&amp;"-"&amp;$D30,Import!$C:$H,6,FALSE)=0,"",VLOOKUP($C$3&amp;"-"&amp;$D30,Import!$C:$H,6,FALSE))</f>
        <v/>
      </c>
      <c r="T30" s="157"/>
      <c r="U30" s="256"/>
    </row>
    <row r="31" spans="1:21" s="293" customFormat="1" ht="60" customHeight="1" x14ac:dyDescent="0.2">
      <c r="A31" s="279"/>
      <c r="B31" s="426"/>
      <c r="C31" s="1232"/>
      <c r="D31" s="290" t="s">
        <v>8</v>
      </c>
      <c r="E31" s="508" t="str">
        <f>IF(VLOOKUP(CONCATENATE($C$3,"-",$D31),Languages!$A:$D,1,TRUE)=CONCATENATE($C$3,"-",$D31),VLOOKUP(CONCATENATE($C$3,"-",$D31),Languages!$A:$D,Summary!$C$7,TRUE),NA())</f>
        <v>Kyberarkkitehtuuri on määritetty, dokumentoitu ja sitä ylläpidetään. Arkkitehtuuri kattaa organisaation IT/OT järjestelmät ja verkot ja se on linjassa järjestelmien, laitteiden, ohjelmistojen ja tietovarantojen kategorisoinnin ja priorisoinnin kanssa.</v>
      </c>
      <c r="F31" s="291">
        <f t="shared" si="0"/>
        <v>0</v>
      </c>
      <c r="G31" s="311"/>
      <c r="H31" s="480"/>
      <c r="I31" s="480"/>
      <c r="J31" s="480"/>
      <c r="K31" s="488"/>
      <c r="L31" s="157"/>
      <c r="M31" s="256"/>
      <c r="N31" s="152"/>
      <c r="O31" s="991" t="str">
        <f>VLOOKUP(VLOOKUP($C$3&amp;"-"&amp;$D31,Import!$C:$D,2,FALSE),Parameters!$C$18:$F$22,Summary!$C$7,FALSE)</f>
        <v xml:space="preserve">0 - Vastaus puuttuu </v>
      </c>
      <c r="P31" s="1015" t="str">
        <f>IF(VLOOKUP($C$3&amp;"-"&amp;$D31,Import!$C:$H,3,FALSE)=0,"",VLOOKUP($C$3&amp;"-"&amp;$D31,Import!$C:$H,3,FALSE))</f>
        <v/>
      </c>
      <c r="Q31" s="1015" t="str">
        <f>IF(VLOOKUP($C$3&amp;"-"&amp;$D31,Import!$C:$H,4,FALSE)=0,"",VLOOKUP($C$3&amp;"-"&amp;$D31,Import!$C:$H,4,FALSE))</f>
        <v/>
      </c>
      <c r="R31" s="1015" t="str">
        <f>IF(VLOOKUP($C$3&amp;"-"&amp;$D31,Import!$C:$H,5,FALSE)=0,"",VLOOKUP($C$3&amp;"-"&amp;$D31,Import!$C:$H,5,FALSE))</f>
        <v/>
      </c>
      <c r="S31" s="1016" t="str">
        <f>IF(VLOOKUP($C$3&amp;"-"&amp;$D31,Import!$C:$H,6,FALSE)=0,"",VLOOKUP($C$3&amp;"-"&amp;$D31,Import!$C:$H,6,FALSE))</f>
        <v/>
      </c>
      <c r="T31" s="157"/>
      <c r="U31" s="256"/>
    </row>
    <row r="32" spans="1:21" s="293" customFormat="1" ht="72.599999999999994" customHeight="1" x14ac:dyDescent="0.2">
      <c r="A32" s="279"/>
      <c r="B32" s="426"/>
      <c r="C32" s="1232"/>
      <c r="D32" s="290" t="s">
        <v>9</v>
      </c>
      <c r="E32" s="509" t="str">
        <f>IF(VLOOKUP(CONCATENATE($C$3,"-",$D32),Languages!$A:$D,1,TRUE)=CONCATENATE($C$3,"-",$D32),VLOOKUP(CONCATENATE($C$3,"-",$D32),Languages!$A:$D,Summary!$C$7,TRUE),NA())</f>
        <v>Kyberarkkitehtuurille on määritetty hallintamalli (ref. "governance"), jota ylläpidetään (esim. arkkitehtuurin arviointitoimikunta). Hallintamalli kattaa vaatimukset säännöllisistä arkkitehtuurikatselmoinneista sekä päätöksenteon poikkeusprosessille.</v>
      </c>
      <c r="F32" s="291">
        <f t="shared" si="0"/>
        <v>0</v>
      </c>
      <c r="G32" s="311"/>
      <c r="H32" s="480"/>
      <c r="I32" s="480"/>
      <c r="J32" s="480"/>
      <c r="K32" s="488"/>
      <c r="L32" s="157"/>
      <c r="M32" s="256"/>
      <c r="N32" s="152"/>
      <c r="O32" s="991" t="str">
        <f>VLOOKUP(VLOOKUP($C$3&amp;"-"&amp;$D32,Import!$C:$D,2,FALSE),Parameters!$C$18:$F$22,Summary!$C$7,FALSE)</f>
        <v xml:space="preserve">0 - Vastaus puuttuu </v>
      </c>
      <c r="P32" s="1015" t="str">
        <f>IF(VLOOKUP($C$3&amp;"-"&amp;$D32,Import!$C:$H,3,FALSE)=0,"",VLOOKUP($C$3&amp;"-"&amp;$D32,Import!$C:$H,3,FALSE))</f>
        <v/>
      </c>
      <c r="Q32" s="1015" t="str">
        <f>IF(VLOOKUP($C$3&amp;"-"&amp;$D32,Import!$C:$H,4,FALSE)=0,"",VLOOKUP($C$3&amp;"-"&amp;$D32,Import!$C:$H,4,FALSE))</f>
        <v/>
      </c>
      <c r="R32" s="1015" t="str">
        <f>IF(VLOOKUP($C$3&amp;"-"&amp;$D32,Import!$C:$H,5,FALSE)=0,"",VLOOKUP($C$3&amp;"-"&amp;$D32,Import!$C:$H,5,FALSE))</f>
        <v/>
      </c>
      <c r="S32" s="1016" t="str">
        <f>IF(VLOOKUP($C$3&amp;"-"&amp;$D32,Import!$C:$H,6,FALSE)=0,"",VLOOKUP($C$3&amp;"-"&amp;$D32,Import!$C:$H,6,FALSE))</f>
        <v/>
      </c>
      <c r="T32" s="157"/>
      <c r="U32" s="256"/>
    </row>
    <row r="33" spans="1:21" s="293" customFormat="1" ht="43.2" customHeight="1" x14ac:dyDescent="0.2">
      <c r="A33" s="279"/>
      <c r="B33" s="426"/>
      <c r="C33" s="1232"/>
      <c r="D33" s="294" t="s">
        <v>10</v>
      </c>
      <c r="E33" s="509" t="str">
        <f>IF(VLOOKUP(CONCATENATE($C$3,"-",$D33),Languages!$A:$D,1,TRUE)=CONCATENATE($C$3,"-",$D33),VLOOKUP(CONCATENATE($C$3,"-",$D33),Languages!$A:$D,Summary!$C$7,TRUE),NA())</f>
        <v>Kyberarkkitehtuuri määrittää kyberturvallisuusvaatimukset toiminnon kannalta tärkeille laitteille, ohjelmistoille ja tietovarannoille.</v>
      </c>
      <c r="F33" s="291">
        <f t="shared" si="0"/>
        <v>0</v>
      </c>
      <c r="G33" s="311"/>
      <c r="H33" s="483"/>
      <c r="I33" s="483"/>
      <c r="J33" s="483"/>
      <c r="K33" s="492"/>
      <c r="L33" s="157"/>
      <c r="M33" s="256"/>
      <c r="N33" s="152"/>
      <c r="O33" s="991" t="str">
        <f>VLOOKUP(VLOOKUP($C$3&amp;"-"&amp;$D33,Import!$C:$D,2,FALSE),Parameters!$C$18:$F$22,Summary!$C$7,FALSE)</f>
        <v xml:space="preserve">0 - Vastaus puuttuu </v>
      </c>
      <c r="P33" s="1017" t="str">
        <f>IF(VLOOKUP($C$3&amp;"-"&amp;$D33,Import!$C:$H,3,FALSE)=0,"",VLOOKUP($C$3&amp;"-"&amp;$D33,Import!$C:$H,3,FALSE))</f>
        <v/>
      </c>
      <c r="Q33" s="1017" t="str">
        <f>IF(VLOOKUP($C$3&amp;"-"&amp;$D33,Import!$C:$H,4,FALSE)=0,"",VLOOKUP($C$3&amp;"-"&amp;$D33,Import!$C:$H,4,FALSE))</f>
        <v/>
      </c>
      <c r="R33" s="1017" t="str">
        <f>IF(VLOOKUP($C$3&amp;"-"&amp;$D33,Import!$C:$H,5,FALSE)=0,"",VLOOKUP($C$3&amp;"-"&amp;$D33,Import!$C:$H,5,FALSE))</f>
        <v/>
      </c>
      <c r="S33" s="1018" t="str">
        <f>IF(VLOOKUP($C$3&amp;"-"&amp;$D33,Import!$C:$H,6,FALSE)=0,"",VLOOKUP($C$3&amp;"-"&amp;$D33,Import!$C:$H,6,FALSE))</f>
        <v/>
      </c>
      <c r="T33" s="157"/>
      <c r="U33" s="256"/>
    </row>
    <row r="34" spans="1:21" s="293" customFormat="1" ht="34.950000000000003" customHeight="1" x14ac:dyDescent="0.2">
      <c r="A34" s="279"/>
      <c r="B34" s="426"/>
      <c r="C34" s="1233"/>
      <c r="D34" s="398" t="s">
        <v>11</v>
      </c>
      <c r="E34" s="510" t="str">
        <f>IF(VLOOKUP(CONCATENATE($C$3,"-",$D34),Languages!$A:$D,1,TRUE)=CONCATENATE($C$3,"-",$D34),VLOOKUP(CONCATENATE($C$3,"-",$D34),Languages!$A:$D,Summary!$C$7,TRUE),NA())</f>
        <v>Kyberturvallisuuden suojausmekanismit on valittu ja toteutettu siten, että kyberturvallisuusvaatimukset toteutuvat.</v>
      </c>
      <c r="F34" s="395">
        <f t="shared" si="0"/>
        <v>0</v>
      </c>
      <c r="G34" s="546"/>
      <c r="H34" s="535"/>
      <c r="I34" s="535"/>
      <c r="J34" s="535"/>
      <c r="K34" s="536"/>
      <c r="L34" s="157"/>
      <c r="M34" s="256"/>
      <c r="N34" s="152"/>
      <c r="O34" s="1019" t="str">
        <f>VLOOKUP(VLOOKUP($C$3&amp;"-"&amp;$D34,Import!$C:$D,2,FALSE),Parameters!$C$18:$F$22,Summary!$C$7,FALSE)</f>
        <v xml:space="preserve">0 - Vastaus puuttuu </v>
      </c>
      <c r="P34" s="1020" t="str">
        <f>IF(VLOOKUP($C$3&amp;"-"&amp;$D34,Import!$C:$H,3,FALSE)=0,"",VLOOKUP($C$3&amp;"-"&amp;$D34,Import!$C:$H,3,FALSE))</f>
        <v/>
      </c>
      <c r="Q34" s="1020" t="str">
        <f>IF(VLOOKUP($C$3&amp;"-"&amp;$D34,Import!$C:$H,4,FALSE)=0,"",VLOOKUP($C$3&amp;"-"&amp;$D34,Import!$C:$H,4,FALSE))</f>
        <v/>
      </c>
      <c r="R34" s="1020" t="str">
        <f>IF(VLOOKUP($C$3&amp;"-"&amp;$D34,Import!$C:$H,5,FALSE)=0,"",VLOOKUP($C$3&amp;"-"&amp;$D34,Import!$C:$H,5,FALSE))</f>
        <v/>
      </c>
      <c r="S34" s="1021" t="str">
        <f>IF(VLOOKUP($C$3&amp;"-"&amp;$D34,Import!$C:$H,6,FALSE)=0,"",VLOOKUP($C$3&amp;"-"&amp;$D34,Import!$C:$H,6,FALSE))</f>
        <v/>
      </c>
      <c r="T34" s="157"/>
      <c r="U34" s="256"/>
    </row>
    <row r="35" spans="1:21" s="293" customFormat="1" ht="60" customHeight="1" x14ac:dyDescent="0.2">
      <c r="A35" s="279"/>
      <c r="B35" s="392"/>
      <c r="C35" s="1234">
        <v>3</v>
      </c>
      <c r="D35" s="399" t="s">
        <v>12</v>
      </c>
      <c r="E35" s="511" t="str">
        <f>IF(VLOOKUP(CONCATENATE($C$3,"-",$D35),Languages!$A:$D,1,TRUE)=CONCATENATE($C$3,"-",$D35),VLOOKUP(CONCATENATE($C$3,"-",$D35),Languages!$A:$D,Summary!$C$7,TRUE),NA())</f>
        <v>Kyberarkkitehtuurin kehittämissuunnitelma tai strategia ja kyberarkkitehtuurin hallinta ovat linjassa organisaation yritysarkkitehtuuristrategian (myös "kokonaisarkkitehtuuri") ja yritysarkkitehtuurin hallinnan kanssa.</v>
      </c>
      <c r="F35" s="396">
        <f t="shared" si="0"/>
        <v>0</v>
      </c>
      <c r="G35" s="485"/>
      <c r="H35" s="482"/>
      <c r="I35" s="482"/>
      <c r="J35" s="482"/>
      <c r="K35" s="491"/>
      <c r="L35" s="157"/>
      <c r="M35" s="256"/>
      <c r="N35" s="152"/>
      <c r="O35" s="988" t="str">
        <f>VLOOKUP(VLOOKUP($C$3&amp;"-"&amp;$D35,Import!$C:$D,2,FALSE),Parameters!$C$18:$F$22,Summary!$C$7,FALSE)</f>
        <v xml:space="preserve">0 - Vastaus puuttuu </v>
      </c>
      <c r="P35" s="1022" t="str">
        <f>IF(VLOOKUP($C$3&amp;"-"&amp;$D35,Import!$C:$H,3,FALSE)=0,"",VLOOKUP($C$3&amp;"-"&amp;$D35,Import!$C:$H,3,FALSE))</f>
        <v/>
      </c>
      <c r="Q35" s="1022" t="str">
        <f>IF(VLOOKUP($C$3&amp;"-"&amp;$D35,Import!$C:$H,4,FALSE)=0,"",VLOOKUP($C$3&amp;"-"&amp;$D35,Import!$C:$H,4,FALSE))</f>
        <v/>
      </c>
      <c r="R35" s="1022" t="str">
        <f>IF(VLOOKUP($C$3&amp;"-"&amp;$D35,Import!$C:$H,5,FALSE)=0,"",VLOOKUP($C$3&amp;"-"&amp;$D35,Import!$C:$H,5,FALSE))</f>
        <v/>
      </c>
      <c r="S35" s="1023" t="str">
        <f>IF(VLOOKUP($C$3&amp;"-"&amp;$D35,Import!$C:$H,6,FALSE)=0,"",VLOOKUP($C$3&amp;"-"&amp;$D35,Import!$C:$H,6,FALSE))</f>
        <v/>
      </c>
      <c r="T35" s="157"/>
      <c r="U35" s="256"/>
    </row>
    <row r="36" spans="1:21" s="293" customFormat="1" ht="60" customHeight="1" x14ac:dyDescent="0.2">
      <c r="A36" s="279"/>
      <c r="B36" s="392"/>
      <c r="C36" s="1235"/>
      <c r="D36" s="294" t="s">
        <v>13</v>
      </c>
      <c r="E36" s="509" t="str">
        <f>IF(VLOOKUP(CONCATENATE($C$3,"-",$D36),Languages!$A:$D,1,TRUE)=CONCATENATE($C$3,"-",$D36),VLOOKUP(CONCATENATE($C$3,"-",$D36),Languages!$A:$D,Summary!$C$7,TRUE),NA())</f>
        <v>Organisaation järjestelmien ja verkkojen vaatimustenmukaisuutta kyberarkkitehtuuriin nähden arvioidaan aika ajoin ja määriteltyjen tilanteiden kuten järjestelmämuutosten tai ulkoisten tapahtumien yhteydessä.</v>
      </c>
      <c r="F36" s="291">
        <f t="shared" si="0"/>
        <v>0</v>
      </c>
      <c r="G36" s="311"/>
      <c r="H36" s="483"/>
      <c r="I36" s="483"/>
      <c r="J36" s="483"/>
      <c r="K36" s="492"/>
      <c r="L36" s="157"/>
      <c r="M36" s="256"/>
      <c r="N36" s="152"/>
      <c r="O36" s="991" t="str">
        <f>VLOOKUP(VLOOKUP($C$3&amp;"-"&amp;$D36,Import!$C:$D,2,FALSE),Parameters!$C$18:$F$22,Summary!$C$7,FALSE)</f>
        <v xml:space="preserve">0 - Vastaus puuttuu </v>
      </c>
      <c r="P36" s="1017" t="str">
        <f>IF(VLOOKUP($C$3&amp;"-"&amp;$D36,Import!$C:$H,3,FALSE)=0,"",VLOOKUP($C$3&amp;"-"&amp;$D36,Import!$C:$H,3,FALSE))</f>
        <v/>
      </c>
      <c r="Q36" s="1017" t="str">
        <f>IF(VLOOKUP($C$3&amp;"-"&amp;$D36,Import!$C:$H,4,FALSE)=0,"",VLOOKUP($C$3&amp;"-"&amp;$D36,Import!$C:$H,4,FALSE))</f>
        <v/>
      </c>
      <c r="R36" s="1017" t="str">
        <f>IF(VLOOKUP($C$3&amp;"-"&amp;$D36,Import!$C:$H,5,FALSE)=0,"",VLOOKUP($C$3&amp;"-"&amp;$D36,Import!$C:$H,5,FALSE))</f>
        <v/>
      </c>
      <c r="S36" s="1018" t="str">
        <f>IF(VLOOKUP($C$3&amp;"-"&amp;$D36,Import!$C:$H,6,FALSE)=0,"",VLOOKUP($C$3&amp;"-"&amp;$D36,Import!$C:$H,6,FALSE))</f>
        <v/>
      </c>
      <c r="T36" s="157"/>
      <c r="U36" s="256"/>
    </row>
    <row r="37" spans="1:21" s="293" customFormat="1" ht="42.6" customHeight="1" x14ac:dyDescent="0.2">
      <c r="A37" s="279"/>
      <c r="B37" s="391"/>
      <c r="C37" s="1235"/>
      <c r="D37" s="294" t="s">
        <v>14</v>
      </c>
      <c r="E37" s="509" t="str">
        <f>IF(VLOOKUP(CONCATENATE($C$3,"-",$D37),Languages!$A:$D,1,TRUE)=CONCATENATE($C$3,"-",$D37),VLOOKUP(CONCATENATE($C$3,"-",$D37),Languages!$A:$D,Summary!$C$7,TRUE),NA())</f>
        <v>Kyberarkkitehtuuria ohjaavat organisaation riskiarvioinneista saama tieto [kts. RISK-3d] sekä organisaation uhkaprofiili [kts. THREAT-2d].</v>
      </c>
      <c r="F37" s="291">
        <f t="shared" si="0"/>
        <v>0</v>
      </c>
      <c r="G37" s="311"/>
      <c r="H37" s="483"/>
      <c r="I37" s="483"/>
      <c r="J37" s="483"/>
      <c r="K37" s="492"/>
      <c r="L37" s="157"/>
      <c r="M37" s="256"/>
      <c r="N37" s="152"/>
      <c r="O37" s="991" t="str">
        <f>VLOOKUP(VLOOKUP($C$3&amp;"-"&amp;$D37,Import!$C:$D,2,FALSE),Parameters!$C$18:$F$22,Summary!$C$7,FALSE)</f>
        <v xml:space="preserve">0 - Vastaus puuttuu </v>
      </c>
      <c r="P37" s="1017" t="str">
        <f>IF(VLOOKUP($C$3&amp;"-"&amp;$D37,Import!$C:$H,3,FALSE)=0,"",VLOOKUP($C$3&amp;"-"&amp;$D37,Import!$C:$H,3,FALSE))</f>
        <v/>
      </c>
      <c r="Q37" s="1017" t="str">
        <f>IF(VLOOKUP($C$3&amp;"-"&amp;$D37,Import!$C:$H,4,FALSE)=0,"",VLOOKUP($C$3&amp;"-"&amp;$D37,Import!$C:$H,4,FALSE))</f>
        <v/>
      </c>
      <c r="R37" s="1017" t="str">
        <f>IF(VLOOKUP($C$3&amp;"-"&amp;$D37,Import!$C:$H,5,FALSE)=0,"",VLOOKUP($C$3&amp;"-"&amp;$D37,Import!$C:$H,5,FALSE))</f>
        <v/>
      </c>
      <c r="S37" s="1018" t="str">
        <f>IF(VLOOKUP($C$3&amp;"-"&amp;$D37,Import!$C:$H,6,FALSE)=0,"",VLOOKUP($C$3&amp;"-"&amp;$D37,Import!$C:$H,6,FALSE))</f>
        <v/>
      </c>
      <c r="T37" s="157"/>
      <c r="U37" s="256"/>
    </row>
    <row r="38" spans="1:21" s="293" customFormat="1" ht="34.950000000000003" customHeight="1" x14ac:dyDescent="0.2">
      <c r="A38" s="279"/>
      <c r="B38" s="391"/>
      <c r="C38" s="1236"/>
      <c r="D38" s="402" t="s">
        <v>15</v>
      </c>
      <c r="E38" s="512" t="str">
        <f>IF(VLOOKUP(CONCATENATE($C$3,"-",$D38),Languages!$A:$D,1,TRUE)=CONCATENATE($C$3,"-",$D38),VLOOKUP(CONCATENATE($C$3,"-",$D38),Languages!$A:$D,Summary!$C$7,TRUE),NA())</f>
        <v>Kyberarkkitehtuuri käsittelee ennalta määriteltyjä toimintatiloja [kts. SITUATION-3h].</v>
      </c>
      <c r="F38" s="403">
        <f t="shared" si="0"/>
        <v>0</v>
      </c>
      <c r="G38" s="489"/>
      <c r="H38" s="484"/>
      <c r="I38" s="484"/>
      <c r="J38" s="484"/>
      <c r="K38" s="493"/>
      <c r="L38" s="157"/>
      <c r="M38" s="256"/>
      <c r="N38" s="152"/>
      <c r="O38" s="996" t="str">
        <f>VLOOKUP(VLOOKUP($C$3&amp;"-"&amp;$D38,Import!$C:$D,2,FALSE),Parameters!$C$18:$F$22,Summary!$C$7,FALSE)</f>
        <v xml:space="preserve">0 - Vastaus puuttuu </v>
      </c>
      <c r="P38" s="1024" t="str">
        <f>IF(VLOOKUP($C$3&amp;"-"&amp;$D38,Import!$C:$H,3,FALSE)=0,"",VLOOKUP($C$3&amp;"-"&amp;$D38,Import!$C:$H,3,FALSE))</f>
        <v/>
      </c>
      <c r="Q38" s="1024" t="str">
        <f>IF(VLOOKUP($C$3&amp;"-"&amp;$D38,Import!$C:$H,4,FALSE)=0,"",VLOOKUP($C$3&amp;"-"&amp;$D38,Import!$C:$H,4,FALSE))</f>
        <v/>
      </c>
      <c r="R38" s="1024" t="str">
        <f>IF(VLOOKUP($C$3&amp;"-"&amp;$D38,Import!$C:$H,5,FALSE)=0,"",VLOOKUP($C$3&amp;"-"&amp;$D38,Import!$C:$H,5,FALSE))</f>
        <v/>
      </c>
      <c r="S38" s="1025" t="str">
        <f>IF(VLOOKUP($C$3&amp;"-"&amp;$D38,Import!$C:$H,6,FALSE)=0,"",VLOOKUP($C$3&amp;"-"&amp;$D38,Import!$C:$H,6,FALSE))</f>
        <v/>
      </c>
      <c r="T38" s="157"/>
      <c r="U38" s="256"/>
    </row>
    <row r="39" spans="1:21" s="180" customFormat="1" ht="30" customHeight="1" x14ac:dyDescent="0.25">
      <c r="A39" s="169"/>
      <c r="B39" s="273"/>
      <c r="C39" s="173">
        <v>2</v>
      </c>
      <c r="D39" s="173" t="str">
        <f>IF(VLOOKUP(CONCATENATE($C$3,"-",C39),Languages!$A:$D,1,TRUE)=CONCATENATE($C$3,"-",C39),VLOOKUP(CONCATENATE($C$3,"-",C39),Languages!$A:$D,Summary!$C$7,TRUE),NA())</f>
        <v>Tietoverkkojen suojaus osana kyberarkkitehtuuria</v>
      </c>
      <c r="E39" s="173"/>
      <c r="F39" s="296"/>
      <c r="G39" s="1006"/>
      <c r="H39" s="1030"/>
      <c r="I39" s="1030"/>
      <c r="J39" s="1030"/>
      <c r="K39" s="1030"/>
      <c r="L39" s="157"/>
      <c r="M39" s="256"/>
      <c r="N39" s="152"/>
      <c r="O39" s="296"/>
      <c r="P39" s="297"/>
      <c r="Q39" s="297"/>
      <c r="R39" s="297"/>
      <c r="S39" s="297"/>
      <c r="T39" s="157"/>
      <c r="U39" s="256"/>
    </row>
    <row r="40" spans="1:21" s="289" customFormat="1" ht="19.95" customHeight="1" x14ac:dyDescent="0.2">
      <c r="A40" s="308"/>
      <c r="B40" s="283"/>
      <c r="C40" s="284" t="str">
        <f>IF(VLOOKUP("GEN-LEVEL",Languages!$A:$D,1,TRUE)="GEN-LEVEL",VLOOKUP("GEN-LEVEL",Languages!$A:$D,Summary!$C$7,TRUE),NA())</f>
        <v>Taso</v>
      </c>
      <c r="D40" s="284"/>
      <c r="E40" s="285" t="str">
        <f>IF(VLOOKUP("GEN-PRACTICE",Languages!$A:$D,1,TRUE)="GEN-PRACTICE",VLOOKUP("GEN-PRACTICE",Languages!$A:$D,Summary!$C$7,TRUE),NA())</f>
        <v>Käytäntö</v>
      </c>
      <c r="F40" s="286"/>
      <c r="G40" s="1003" t="str">
        <f>IF(VLOOKUP("GEN-ANSWER",Languages!$A:$D,1,TRUE)="GEN-ANSWER",VLOOKUP("GEN-ANSWER",Languages!$A:$D,Summary!$C$7,TRUE),NA())</f>
        <v>Vastaus</v>
      </c>
      <c r="H40" s="1004" t="str">
        <f>IF(VLOOKUP("KM112",Languages!$A:$D,1,TRUE)="KM112",VLOOKUP("KM112",Languages!$A:$D,Summary!$C$7,TRUE),NA())</f>
        <v>Kommentit</v>
      </c>
      <c r="I40" s="1004" t="str">
        <f>IF(VLOOKUP("KM113",Languages!$A:$D,1,TRUE)="KM113",VLOOKUP("KM113",Languages!$A:$D,Summary!$C$7,TRUE),NA())</f>
        <v>Sisäinen viittaus</v>
      </c>
      <c r="J40" s="1004" t="str">
        <f>IF(VLOOKUP("KM114",Languages!$A:$D,1,TRUE)="KM114",VLOOKUP("KM114",Languages!$A:$D,Summary!$C$7,TRUE),NA())</f>
        <v>Ulkoinen viittaus</v>
      </c>
      <c r="K40" s="1004" t="str">
        <f>IF(VLOOKUP("KM115",Languages!$A:$D,1,TRUE)="KM115",VLOOKUP("KM115",Languages!$A:$D,Summary!$C$7,TRUE),NA())</f>
        <v>Kehityskohde</v>
      </c>
      <c r="L40" s="287"/>
      <c r="M40" s="288"/>
      <c r="N40" s="283"/>
      <c r="O40" s="503" t="str">
        <f>IF(VLOOKUP("GEN-ANSWER",Languages!$A:$D,1,TRUE)="GEN-ANSWER",VLOOKUP("GEN-ANSWER",Languages!$A:$D,Summary!$C$7,TRUE),NA())</f>
        <v>Vastaus</v>
      </c>
      <c r="P40" s="503" t="str">
        <f>IF(VLOOKUP("KM112",Languages!$A:$D,1,TRUE)="KM112",VLOOKUP("KM112",Languages!$A:$D,Summary!$C$7,TRUE),NA())</f>
        <v>Kommentit</v>
      </c>
      <c r="Q40" s="503" t="str">
        <f>IF(VLOOKUP("KM113",Languages!$A:$D,1,TRUE)="KM113",VLOOKUP("KM113",Languages!$A:$D,Summary!$C$7,TRUE),NA())</f>
        <v>Sisäinen viittaus</v>
      </c>
      <c r="R40" s="503" t="str">
        <f>IF(VLOOKUP("KM114",Languages!$A:$D,1,TRUE)="KM114",VLOOKUP("KM114",Languages!$A:$D,Summary!$C$7,TRUE),NA())</f>
        <v>Ulkoinen viittaus</v>
      </c>
      <c r="S40" s="503" t="str">
        <f>IF(VLOOKUP("KM115",Languages!$A:$D,1,TRUE)="KM115",VLOOKUP("KM115",Languages!$A:$D,Summary!$C$7,TRUE),NA())</f>
        <v>Kehityskohde</v>
      </c>
      <c r="T40" s="287"/>
      <c r="U40" s="288"/>
    </row>
    <row r="41" spans="1:21" s="300" customFormat="1" ht="68.400000000000006" customHeight="1" x14ac:dyDescent="0.2">
      <c r="A41" s="309"/>
      <c r="B41" s="1213"/>
      <c r="C41" s="568">
        <v>1</v>
      </c>
      <c r="D41" s="410" t="s">
        <v>17</v>
      </c>
      <c r="E41" s="506" t="str">
        <f>IF(VLOOKUP(CONCATENATE($C$3,"-",$D41),Languages!$A:$D,1,TRUE)=CONCATENATE($C$3,"-",$D41),VLOOKUP(CONCATENATE($C$3,"-",$D41),Languages!$A:$D,Summary!$C$7,TRUE),NA())</f>
        <v>Organisaation IT-järjestelmät on eriytetty mahdollisista OT-järjestelmistä segmentoimalla ne joko fyysisesti tai loogisesti. Tasolla 1 tämän ei tarvitse olla systemaattista ja säännöllistä. [Tulkintaohje: mikäli OT-järjestelmiä tai vastaavia ei ole, aseteta käytäntö "täysin toteutetuksi"]</v>
      </c>
      <c r="F41" s="401">
        <f t="shared" ref="F41:F52" si="1">IFERROR(INT(LEFT($G41,1)),0)</f>
        <v>0</v>
      </c>
      <c r="G41" s="496"/>
      <c r="H41" s="526"/>
      <c r="I41" s="526"/>
      <c r="J41" s="526"/>
      <c r="K41" s="527"/>
      <c r="L41" s="157"/>
      <c r="M41" s="256"/>
      <c r="N41" s="152"/>
      <c r="O41" s="985" t="str">
        <f>VLOOKUP(VLOOKUP($C$3&amp;"-"&amp;$D41,Import!$C:$D,2,FALSE),Parameters!$C$18:$F$22,Summary!$C$7,FALSE)</f>
        <v xml:space="preserve">0 - Vastaus puuttuu </v>
      </c>
      <c r="P41" s="1010" t="str">
        <f>IF(VLOOKUP($C$3&amp;"-"&amp;$D41,Import!$C:$H,3,FALSE)=0,"",VLOOKUP($C$3&amp;"-"&amp;$D41,Import!$C:$H,3,FALSE))</f>
        <v/>
      </c>
      <c r="Q41" s="1010" t="str">
        <f>IF(VLOOKUP($C$3&amp;"-"&amp;$D41,Import!$C:$H,4,FALSE)=0,"",VLOOKUP($C$3&amp;"-"&amp;$D41,Import!$C:$H,4,FALSE))</f>
        <v/>
      </c>
      <c r="R41" s="1010" t="str">
        <f>IF(VLOOKUP($C$3&amp;"-"&amp;$D41,Import!$C:$H,5,FALSE)=0,"",VLOOKUP($C$3&amp;"-"&amp;$D41,Import!$C:$H,5,FALSE))</f>
        <v/>
      </c>
      <c r="S41" s="1011" t="str">
        <f>IF(VLOOKUP($C$3&amp;"-"&amp;$D41,Import!$C:$H,6,FALSE)=0,"",VLOOKUP($C$3&amp;"-"&amp;$D41,Import!$C:$H,6,FALSE))</f>
        <v/>
      </c>
      <c r="T41" s="157"/>
      <c r="U41" s="256"/>
    </row>
    <row r="42" spans="1:21" s="300" customFormat="1" ht="60" customHeight="1" x14ac:dyDescent="0.2">
      <c r="A42" s="309"/>
      <c r="B42" s="1213"/>
      <c r="C42" s="1224">
        <v>2</v>
      </c>
      <c r="D42" s="406" t="s">
        <v>18</v>
      </c>
      <c r="E42" s="507" t="str">
        <f>IF(VLOOKUP(CONCATENATE($C$3,"-",$D42),Languages!$A:$D,1,TRUE)=CONCATENATE($C$3,"-",$D42),VLOOKUP(CONCATENATE($C$3,"-",$D42),Languages!$A:$D,Summary!$C$7,TRUE),NA())</f>
        <v>Toiminnon kannalta tärkeät laitteet, ohjelmistot ja tietovarannot on segmentoitu loogisesti tai fyysisesti eri turvallisuusvyöhykkeisiin perustuen niille asetettuihin kyberturvallisuusvaatimuksiin [kts. ASSET-1a, ASSET-2a].</v>
      </c>
      <c r="F42" s="396">
        <f t="shared" si="1"/>
        <v>0</v>
      </c>
      <c r="G42" s="485"/>
      <c r="H42" s="482"/>
      <c r="I42" s="482"/>
      <c r="J42" s="482"/>
      <c r="K42" s="491"/>
      <c r="L42" s="157"/>
      <c r="M42" s="256"/>
      <c r="N42" s="152"/>
      <c r="O42" s="988" t="str">
        <f>VLOOKUP(VLOOKUP($C$3&amp;"-"&amp;$D42,Import!$C:$D,2,FALSE),Parameters!$C$18:$F$22,Summary!$C$7,FALSE)</f>
        <v xml:space="preserve">0 - Vastaus puuttuu </v>
      </c>
      <c r="P42" s="1022" t="str">
        <f>IF(VLOOKUP($C$3&amp;"-"&amp;$D42,Import!$C:$H,3,FALSE)=0,"",VLOOKUP($C$3&amp;"-"&amp;$D42,Import!$C:$H,3,FALSE))</f>
        <v/>
      </c>
      <c r="Q42" s="1022" t="str">
        <f>IF(VLOOKUP($C$3&amp;"-"&amp;$D42,Import!$C:$H,4,FALSE)=0,"",VLOOKUP($C$3&amp;"-"&amp;$D42,Import!$C:$H,4,FALSE))</f>
        <v/>
      </c>
      <c r="R42" s="1022" t="str">
        <f>IF(VLOOKUP($C$3&amp;"-"&amp;$D42,Import!$C:$H,5,FALSE)=0,"",VLOOKUP($C$3&amp;"-"&amp;$D42,Import!$C:$H,5,FALSE))</f>
        <v/>
      </c>
      <c r="S42" s="1023" t="str">
        <f>IF(VLOOKUP($C$3&amp;"-"&amp;$D42,Import!$C:$H,6,FALSE)=0,"",VLOOKUP($C$3&amp;"-"&amp;$D42,Import!$C:$H,6,FALSE))</f>
        <v/>
      </c>
      <c r="T42" s="157"/>
      <c r="U42" s="256"/>
    </row>
    <row r="43" spans="1:21" s="300" customFormat="1" ht="34.950000000000003" customHeight="1" x14ac:dyDescent="0.2">
      <c r="A43" s="309"/>
      <c r="B43" s="301"/>
      <c r="C43" s="1237"/>
      <c r="D43" s="298" t="s">
        <v>19</v>
      </c>
      <c r="E43" s="508" t="str">
        <f>IF(VLOOKUP(CONCATENATE($C$3,"-",$D43),Languages!$A:$D,1,TRUE)=CONCATENATE($C$3,"-",$D43),VLOOKUP(CONCATENATE($C$3,"-",$D43),Languages!$A:$D,Summary!$C$7,TRUE),NA())</f>
        <v>Verkkojen suojauksessa huomioidaan pienimmän valtuuden ja pienimmän toiminnallisuuden periaatteet.</v>
      </c>
      <c r="F43" s="291">
        <f t="shared" si="1"/>
        <v>0</v>
      </c>
      <c r="G43" s="311"/>
      <c r="H43" s="483"/>
      <c r="I43" s="483"/>
      <c r="J43" s="483"/>
      <c r="K43" s="492"/>
      <c r="L43" s="157"/>
      <c r="M43" s="256"/>
      <c r="N43" s="152"/>
      <c r="O43" s="991" t="str">
        <f>VLOOKUP(VLOOKUP($C$3&amp;"-"&amp;$D43,Import!$C:$D,2,FALSE),Parameters!$C$18:$F$22,Summary!$C$7,FALSE)</f>
        <v xml:space="preserve">0 - Vastaus puuttuu </v>
      </c>
      <c r="P43" s="1017" t="str">
        <f>IF(VLOOKUP($C$3&amp;"-"&amp;$D43,Import!$C:$H,3,FALSE)=0,"",VLOOKUP($C$3&amp;"-"&amp;$D43,Import!$C:$H,3,FALSE))</f>
        <v/>
      </c>
      <c r="Q43" s="1017" t="str">
        <f>IF(VLOOKUP($C$3&amp;"-"&amp;$D43,Import!$C:$H,4,FALSE)=0,"",VLOOKUP($C$3&amp;"-"&amp;$D43,Import!$C:$H,4,FALSE))</f>
        <v/>
      </c>
      <c r="R43" s="1017" t="str">
        <f>IF(VLOOKUP($C$3&amp;"-"&amp;$D43,Import!$C:$H,5,FALSE)=0,"",VLOOKUP($C$3&amp;"-"&amp;$D43,Import!$C:$H,5,FALSE))</f>
        <v/>
      </c>
      <c r="S43" s="1018" t="str">
        <f>IF(VLOOKUP($C$3&amp;"-"&amp;$D43,Import!$C:$H,6,FALSE)=0,"",VLOOKUP($C$3&amp;"-"&amp;$D43,Import!$C:$H,6,FALSE))</f>
        <v/>
      </c>
      <c r="T43" s="157"/>
      <c r="U43" s="256"/>
    </row>
    <row r="44" spans="1:21" s="300" customFormat="1" ht="77.400000000000006" customHeight="1" x14ac:dyDescent="0.2">
      <c r="A44" s="309"/>
      <c r="B44" s="390"/>
      <c r="C44" s="1237"/>
      <c r="D44" s="298" t="s">
        <v>20</v>
      </c>
      <c r="E44" s="508" t="str">
        <f>IF(VLOOKUP(CONCATENATE($C$3,"-",$D44),Languages!$A:$D,1,TRUE)=CONCATENATE($C$3,"-",$D44),VLOOKUP(CONCATENATE($C$3,"-",$D44),Languages!$A:$D,Summary!$C$7,TRUE),NA())</f>
        <v>Verkkojen suojaus on määritetty ja käytössä valituille laite-, ohjelmisto- ja tietotyypeille riippuen niiden riski- ja prioriteettitasosta (esimerkkeinä sisäiset laitteet, verkkojen reunoilla olevat laitteet, langattomaan verkkoon kytketyt laitteet, pilviomaisuus, etäyhteydet tai ulkoisesti hallitut laitteet).</v>
      </c>
      <c r="F44" s="291">
        <f t="shared" si="1"/>
        <v>0</v>
      </c>
      <c r="G44" s="311"/>
      <c r="H44" s="483"/>
      <c r="I44" s="483"/>
      <c r="J44" s="483"/>
      <c r="K44" s="492"/>
      <c r="L44" s="157"/>
      <c r="M44" s="256"/>
      <c r="N44" s="152"/>
      <c r="O44" s="991" t="str">
        <f>VLOOKUP(VLOOKUP($C$3&amp;"-"&amp;$D44,Import!$C:$D,2,FALSE),Parameters!$C$18:$F$22,Summary!$C$7,FALSE)</f>
        <v xml:space="preserve">0 - Vastaus puuttuu </v>
      </c>
      <c r="P44" s="1017" t="str">
        <f>IF(VLOOKUP($C$3&amp;"-"&amp;$D44,Import!$C:$H,3,FALSE)=0,"",VLOOKUP($C$3&amp;"-"&amp;$D44,Import!$C:$H,3,FALSE))</f>
        <v/>
      </c>
      <c r="Q44" s="1017" t="str">
        <f>IF(VLOOKUP($C$3&amp;"-"&amp;$D44,Import!$C:$H,4,FALSE)=0,"",VLOOKUP($C$3&amp;"-"&amp;$D44,Import!$C:$H,4,FALSE))</f>
        <v/>
      </c>
      <c r="R44" s="1017" t="str">
        <f>IF(VLOOKUP($C$3&amp;"-"&amp;$D44,Import!$C:$H,5,FALSE)=0,"",VLOOKUP($C$3&amp;"-"&amp;$D44,Import!$C:$H,5,FALSE))</f>
        <v/>
      </c>
      <c r="S44" s="1018" t="str">
        <f>IF(VLOOKUP($C$3&amp;"-"&amp;$D44,Import!$C:$H,6,FALSE)=0,"",VLOOKUP($C$3&amp;"-"&amp;$D44,Import!$C:$H,6,FALSE))</f>
        <v/>
      </c>
      <c r="T44" s="157"/>
      <c r="U44" s="256"/>
    </row>
    <row r="45" spans="1:21" s="300" customFormat="1" ht="56.4" customHeight="1" x14ac:dyDescent="0.2">
      <c r="A45" s="309"/>
      <c r="B45" s="390"/>
      <c r="C45" s="1237"/>
      <c r="D45" s="298" t="s">
        <v>21</v>
      </c>
      <c r="E45" s="508" t="str">
        <f>IF(VLOOKUP(CONCATENATE($C$3,"-",$D45),Languages!$A:$D,1,TRUE)=CONCATENATE($C$3,"-",$D45),VLOOKUP(CONCATENATE($C$3,"-",$D45),Languages!$A:$D,Summary!$C$7,TRUE),NA())</f>
        <v>Verkkojen suojaamiseen kuuluu valittujen turvallisuusvyöhykkeiden verkkoliikenteen valvonta, analysointi ja hallinta (esimerkiksi palomuurit, whitelisting, murtojen havaitsemis- ja estämisjärjestelmät (IDPS)).</v>
      </c>
      <c r="F45" s="291">
        <f t="shared" si="1"/>
        <v>0</v>
      </c>
      <c r="G45" s="311"/>
      <c r="H45" s="483"/>
      <c r="I45" s="483"/>
      <c r="J45" s="483"/>
      <c r="K45" s="492"/>
      <c r="L45" s="157"/>
      <c r="M45" s="256"/>
      <c r="N45" s="152"/>
      <c r="O45" s="991" t="str">
        <f>VLOOKUP(VLOOKUP($C$3&amp;"-"&amp;$D45,Import!$C:$D,2,FALSE),Parameters!$C$18:$F$22,Summary!$C$7,FALSE)</f>
        <v xml:space="preserve">0 - Vastaus puuttuu </v>
      </c>
      <c r="P45" s="1017" t="str">
        <f>IF(VLOOKUP($C$3&amp;"-"&amp;$D45,Import!$C:$H,3,FALSE)=0,"",VLOOKUP($C$3&amp;"-"&amp;$D45,Import!$C:$H,3,FALSE))</f>
        <v/>
      </c>
      <c r="Q45" s="1017" t="str">
        <f>IF(VLOOKUP($C$3&amp;"-"&amp;$D45,Import!$C:$H,4,FALSE)=0,"",VLOOKUP($C$3&amp;"-"&amp;$D45,Import!$C:$H,4,FALSE))</f>
        <v/>
      </c>
      <c r="R45" s="1017" t="str">
        <f>IF(VLOOKUP($C$3&amp;"-"&amp;$D45,Import!$C:$H,5,FALSE)=0,"",VLOOKUP($C$3&amp;"-"&amp;$D45,Import!$C:$H,5,FALSE))</f>
        <v/>
      </c>
      <c r="S45" s="1018" t="str">
        <f>IF(VLOOKUP($C$3&amp;"-"&amp;$D45,Import!$C:$H,6,FALSE)=0,"",VLOOKUP($C$3&amp;"-"&amp;$D45,Import!$C:$H,6,FALSE))</f>
        <v/>
      </c>
      <c r="T45" s="157"/>
      <c r="U45" s="256"/>
    </row>
    <row r="46" spans="1:21" s="300" customFormat="1" ht="54.6" customHeight="1" x14ac:dyDescent="0.2">
      <c r="A46" s="309"/>
      <c r="B46" s="390"/>
      <c r="C46" s="1225"/>
      <c r="D46" s="407" t="s">
        <v>109</v>
      </c>
      <c r="E46" s="514" t="str">
        <f>IF(VLOOKUP(CONCATENATE($C$3,"-",$D46),Languages!$A:$D,1,TRUE)=CONCATENATE($C$3,"-",$D46),VLOOKUP(CONCATENATE($C$3,"-",$D46),Languages!$A:$D,Summary!$C$7,TRUE),NA())</f>
        <v>Verkkoliikennettä ja sähköpostia valvotaan, analysoidaan ja hallitaan (esimerkiksi estämällä haitallisia linkkejä tai epäilyttäviä latauksia, sähköpostin autentikointi tai IP-osoitteiden estäminen).</v>
      </c>
      <c r="F46" s="403">
        <f t="shared" si="1"/>
        <v>0</v>
      </c>
      <c r="G46" s="489"/>
      <c r="H46" s="484"/>
      <c r="I46" s="484"/>
      <c r="J46" s="484"/>
      <c r="K46" s="493"/>
      <c r="L46" s="157"/>
      <c r="M46" s="256"/>
      <c r="N46" s="152"/>
      <c r="O46" s="996" t="str">
        <f>VLOOKUP(VLOOKUP($C$3&amp;"-"&amp;$D46,Import!$C:$D,2,FALSE),Parameters!$C$18:$F$22,Summary!$C$7,FALSE)</f>
        <v xml:space="preserve">0 - Vastaus puuttuu </v>
      </c>
      <c r="P46" s="1024" t="str">
        <f>IF(VLOOKUP($C$3&amp;"-"&amp;$D46,Import!$C:$H,3,FALSE)=0,"",VLOOKUP($C$3&amp;"-"&amp;$D46,Import!$C:$H,3,FALSE))</f>
        <v/>
      </c>
      <c r="Q46" s="1024" t="str">
        <f>IF(VLOOKUP($C$3&amp;"-"&amp;$D46,Import!$C:$H,4,FALSE)=0,"",VLOOKUP($C$3&amp;"-"&amp;$D46,Import!$C:$H,4,FALSE))</f>
        <v/>
      </c>
      <c r="R46" s="1024" t="str">
        <f>IF(VLOOKUP($C$3&amp;"-"&amp;$D46,Import!$C:$H,5,FALSE)=0,"",VLOOKUP($C$3&amp;"-"&amp;$D46,Import!$C:$H,5,FALSE))</f>
        <v/>
      </c>
      <c r="S46" s="1025" t="str">
        <f>IF(VLOOKUP($C$3&amp;"-"&amp;$D46,Import!$C:$H,6,FALSE)=0,"",VLOOKUP($C$3&amp;"-"&amp;$D46,Import!$C:$H,6,FALSE))</f>
        <v/>
      </c>
      <c r="T46" s="157"/>
      <c r="U46" s="256"/>
    </row>
    <row r="47" spans="1:21" s="300" customFormat="1" ht="43.2" customHeight="1" x14ac:dyDescent="0.2">
      <c r="A47" s="309"/>
      <c r="B47" s="390"/>
      <c r="C47" s="1226">
        <v>3</v>
      </c>
      <c r="D47" s="406" t="s">
        <v>173</v>
      </c>
      <c r="E47" s="507" t="str">
        <f>IF(VLOOKUP(CONCATENATE($C$3,"-",$D47),Languages!$A:$D,1,TRUE)=CONCATENATE($C$3,"-",$D47),VLOOKUP(CONCATENATE($C$3,"-",$D47),Languages!$A:$D,Summary!$C$7,TRUE),NA())</f>
        <v>Kaikki laitteet, ohjelmistot ja tietovarannot on segmentoitu turvallisuusvyöhykkeisiin perustuen niille asetettuihin kybervaatimuksiin.</v>
      </c>
      <c r="F47" s="396">
        <f t="shared" si="1"/>
        <v>0</v>
      </c>
      <c r="G47" s="485"/>
      <c r="H47" s="482"/>
      <c r="I47" s="482"/>
      <c r="J47" s="482"/>
      <c r="K47" s="491"/>
      <c r="L47" s="157"/>
      <c r="M47" s="256"/>
      <c r="N47" s="152"/>
      <c r="O47" s="988" t="str">
        <f>VLOOKUP(VLOOKUP($C$3&amp;"-"&amp;$D47,Import!$C:$D,2,FALSE),Parameters!$C$18:$F$22,Summary!$C$7,FALSE)</f>
        <v xml:space="preserve">0 - Vastaus puuttuu </v>
      </c>
      <c r="P47" s="1022" t="str">
        <f>IF(VLOOKUP($C$3&amp;"-"&amp;$D47,Import!$C:$H,3,FALSE)=0,"",VLOOKUP($C$3&amp;"-"&amp;$D47,Import!$C:$H,3,FALSE))</f>
        <v/>
      </c>
      <c r="Q47" s="1022" t="str">
        <f>IF(VLOOKUP($C$3&amp;"-"&amp;$D47,Import!$C:$H,4,FALSE)=0,"",VLOOKUP($C$3&amp;"-"&amp;$D47,Import!$C:$H,4,FALSE))</f>
        <v/>
      </c>
      <c r="R47" s="1022" t="str">
        <f>IF(VLOOKUP($C$3&amp;"-"&amp;$D47,Import!$C:$H,5,FALSE)=0,"",VLOOKUP($C$3&amp;"-"&amp;$D47,Import!$C:$H,5,FALSE))</f>
        <v/>
      </c>
      <c r="S47" s="1023" t="str">
        <f>IF(VLOOKUP($C$3&amp;"-"&amp;$D47,Import!$C:$H,6,FALSE)=0,"",VLOOKUP($C$3&amp;"-"&amp;$D47,Import!$C:$H,6,FALSE))</f>
        <v/>
      </c>
      <c r="T47" s="157"/>
      <c r="U47" s="256"/>
    </row>
    <row r="48" spans="1:21" s="300" customFormat="1" ht="56.4" customHeight="1" x14ac:dyDescent="0.2">
      <c r="A48" s="309"/>
      <c r="B48" s="390"/>
      <c r="C48" s="1228"/>
      <c r="D48" s="298" t="s">
        <v>175</v>
      </c>
      <c r="E48" s="508" t="str">
        <f>IF(VLOOKUP(CONCATENATE($C$3,"-",$D48),Languages!$A:$D,1,TRUE)=CONCATENATE($C$3,"-",$D48),VLOOKUP(CONCATENATE($C$3,"-",$D48),Languages!$A:$D,Summary!$C$7,TRUE),NA())</f>
        <v>Verkkojen eristys on toteutettu soveltuvin osin siten että laitteet, ohjelmistot ja tietovarannot on segmentoitu loogisesti tai fyysisesti omiin turva-alueisiinsa, joilla on jokaisella oma todentamisensa.</v>
      </c>
      <c r="F48" s="291">
        <f t="shared" si="1"/>
        <v>0</v>
      </c>
      <c r="G48" s="311"/>
      <c r="H48" s="483"/>
      <c r="I48" s="483"/>
      <c r="J48" s="483"/>
      <c r="K48" s="492"/>
      <c r="L48" s="157"/>
      <c r="M48" s="256"/>
      <c r="N48" s="152"/>
      <c r="O48" s="991" t="str">
        <f>VLOOKUP(VLOOKUP($C$3&amp;"-"&amp;$D48,Import!$C:$D,2,FALSE),Parameters!$C$18:$F$22,Summary!$C$7,FALSE)</f>
        <v xml:space="preserve">0 - Vastaus puuttuu </v>
      </c>
      <c r="P48" s="1017" t="str">
        <f>IF(VLOOKUP($C$3&amp;"-"&amp;$D48,Import!$C:$H,3,FALSE)=0,"",VLOOKUP($C$3&amp;"-"&amp;$D48,Import!$C:$H,3,FALSE))</f>
        <v/>
      </c>
      <c r="Q48" s="1017" t="str">
        <f>IF(VLOOKUP($C$3&amp;"-"&amp;$D48,Import!$C:$H,4,FALSE)=0,"",VLOOKUP($C$3&amp;"-"&amp;$D48,Import!$C:$H,4,FALSE))</f>
        <v/>
      </c>
      <c r="R48" s="1017" t="str">
        <f>IF(VLOOKUP($C$3&amp;"-"&amp;$D48,Import!$C:$H,5,FALSE)=0,"",VLOOKUP($C$3&amp;"-"&amp;$D48,Import!$C:$H,5,FALSE))</f>
        <v/>
      </c>
      <c r="S48" s="1018" t="str">
        <f>IF(VLOOKUP($C$3&amp;"-"&amp;$D48,Import!$C:$H,6,FALSE)=0,"",VLOOKUP($C$3&amp;"-"&amp;$D48,Import!$C:$H,6,FALSE))</f>
        <v/>
      </c>
      <c r="T48" s="157"/>
      <c r="U48" s="256"/>
    </row>
    <row r="49" spans="1:21" s="300" customFormat="1" ht="60" customHeight="1" x14ac:dyDescent="0.2">
      <c r="A49" s="309"/>
      <c r="B49" s="390"/>
      <c r="C49" s="1228"/>
      <c r="D49" s="298" t="s">
        <v>206</v>
      </c>
      <c r="E49" s="508" t="str">
        <f>IF(VLOOKUP(CONCATENATE($C$3,"-",$D49),Languages!$A:$D,1,TRUE)=CONCATENATE($C$3,"-",$D49),VLOOKUP(CONCATENATE($C$3,"-",$D49),Languages!$A:$D,Summary!$C$7,TRUE),NA())</f>
        <v>Mahdolliset OT-verkot ovat toiminnallisesti erillään IT-verkoista siten, että OT-toiminnot eivät häiriinny IT-järjestelmien vikaantuessa. [Tulkintaohje: mikäli OT-verkkoja tai vastaavia ei ole, aseteta käytäntö "täysin toteutetuksi"]</v>
      </c>
      <c r="F49" s="291">
        <f t="shared" si="1"/>
        <v>0</v>
      </c>
      <c r="G49" s="311"/>
      <c r="H49" s="483"/>
      <c r="I49" s="483"/>
      <c r="J49" s="483"/>
      <c r="K49" s="492"/>
      <c r="L49" s="157"/>
      <c r="M49" s="256"/>
      <c r="N49" s="152"/>
      <c r="O49" s="991" t="str">
        <f>VLOOKUP(VLOOKUP($C$3&amp;"-"&amp;$D49,Import!$C:$D,2,FALSE),Parameters!$C$18:$F$22,Summary!$C$7,FALSE)</f>
        <v xml:space="preserve">0 - Vastaus puuttuu </v>
      </c>
      <c r="P49" s="1017" t="str">
        <f>IF(VLOOKUP($C$3&amp;"-"&amp;$D49,Import!$C:$H,3,FALSE)=0,"",VLOOKUP($C$3&amp;"-"&amp;$D49,Import!$C:$H,3,FALSE))</f>
        <v/>
      </c>
      <c r="Q49" s="1017" t="str">
        <f>IF(VLOOKUP($C$3&amp;"-"&amp;$D49,Import!$C:$H,4,FALSE)=0,"",VLOOKUP($C$3&amp;"-"&amp;$D49,Import!$C:$H,4,FALSE))</f>
        <v/>
      </c>
      <c r="R49" s="1017" t="str">
        <f>IF(VLOOKUP($C$3&amp;"-"&amp;$D49,Import!$C:$H,5,FALSE)=0,"",VLOOKUP($C$3&amp;"-"&amp;$D49,Import!$C:$H,5,FALSE))</f>
        <v/>
      </c>
      <c r="S49" s="1018" t="str">
        <f>IF(VLOOKUP($C$3&amp;"-"&amp;$D49,Import!$C:$H,6,FALSE)=0,"",VLOOKUP($C$3&amp;"-"&amp;$D49,Import!$C:$H,6,FALSE))</f>
        <v/>
      </c>
      <c r="T49" s="157"/>
      <c r="U49" s="256"/>
    </row>
    <row r="50" spans="1:21" s="300" customFormat="1" ht="45" customHeight="1" x14ac:dyDescent="0.2">
      <c r="A50" s="309"/>
      <c r="B50" s="390"/>
      <c r="C50" s="1228"/>
      <c r="D50" s="298" t="s">
        <v>208</v>
      </c>
      <c r="E50" s="508" t="str">
        <f>IF(VLOOKUP(CONCATENATE($C$3,"-",$D50),Languages!$A:$D,1,TRUE)=CONCATENATE($C$3,"-",$D50),VLOOKUP(CONCATENATE($C$3,"-",$D50),Languages!$A:$D,Summary!$C$7,TRUE),NA())</f>
        <v>Verkkoyhteyksiä suojataan suhteessa niiden organisaatiolle aiheuttamaan riskiin (esimerkiksi suojattujen yhteyksien käyttö etäyhteyden yli tehtävissä hallinta- tai ylläpitotoimissa).</v>
      </c>
      <c r="F50" s="291">
        <f t="shared" si="1"/>
        <v>0</v>
      </c>
      <c r="G50" s="311"/>
      <c r="H50" s="483"/>
      <c r="I50" s="483"/>
      <c r="J50" s="483"/>
      <c r="K50" s="492"/>
      <c r="L50" s="157"/>
      <c r="M50" s="256"/>
      <c r="N50" s="152"/>
      <c r="O50" s="991" t="str">
        <f>VLOOKUP(VLOOKUP($C$3&amp;"-"&amp;$D50,Import!$C:$D,2,FALSE),Parameters!$C$18:$F$22,Summary!$C$7,FALSE)</f>
        <v xml:space="preserve">0 - Vastaus puuttuu </v>
      </c>
      <c r="P50" s="1017" t="str">
        <f>IF(VLOOKUP($C$3&amp;"-"&amp;$D50,Import!$C:$H,3,FALSE)=0,"",VLOOKUP($C$3&amp;"-"&amp;$D50,Import!$C:$H,3,FALSE))</f>
        <v/>
      </c>
      <c r="Q50" s="1017" t="str">
        <f>IF(VLOOKUP($C$3&amp;"-"&amp;$D50,Import!$C:$H,4,FALSE)=0,"",VLOOKUP($C$3&amp;"-"&amp;$D50,Import!$C:$H,4,FALSE))</f>
        <v/>
      </c>
      <c r="R50" s="1017" t="str">
        <f>IF(VLOOKUP($C$3&amp;"-"&amp;$D50,Import!$C:$H,5,FALSE)=0,"",VLOOKUP($C$3&amp;"-"&amp;$D50,Import!$C:$H,5,FALSE))</f>
        <v/>
      </c>
      <c r="S50" s="1018" t="str">
        <f>IF(VLOOKUP($C$3&amp;"-"&amp;$D50,Import!$C:$H,6,FALSE)=0,"",VLOOKUP($C$3&amp;"-"&amp;$D50,Import!$C:$H,6,FALSE))</f>
        <v/>
      </c>
      <c r="T50" s="157"/>
      <c r="U50" s="256"/>
    </row>
    <row r="51" spans="1:21" s="300" customFormat="1" ht="44.55" customHeight="1" x14ac:dyDescent="0.2">
      <c r="A51" s="309"/>
      <c r="B51" s="390"/>
      <c r="C51" s="1228"/>
      <c r="D51" s="298" t="s">
        <v>210</v>
      </c>
      <c r="E51" s="508" t="str">
        <f>IF(VLOOKUP(CONCATENATE($C$3,"-",$D51),Languages!$A:$D,1,TRUE)=CONCATENATE($C$3,"-",$D51),VLOOKUP(CONCATENATE($C$3,"-",$D51),Languages!$A:$D,Summary!$C$7,TRUE),NA())</f>
        <v>Laitteiden yhteyksiä verkkoon hallitaan siten, että vain luvalliset laitteet voivat muodostaa yhteyden (esimerkiksi laitetason pääsynhallinta (NAC)).</v>
      </c>
      <c r="F51" s="291">
        <f t="shared" si="1"/>
        <v>0</v>
      </c>
      <c r="G51" s="311"/>
      <c r="H51" s="483"/>
      <c r="I51" s="483"/>
      <c r="J51" s="483"/>
      <c r="K51" s="492"/>
      <c r="L51" s="157"/>
      <c r="M51" s="256"/>
      <c r="N51" s="152"/>
      <c r="O51" s="991" t="str">
        <f>VLOOKUP(VLOOKUP($C$3&amp;"-"&amp;$D51,Import!$C:$D,2,FALSE),Parameters!$C$18:$F$22,Summary!$C$7,FALSE)</f>
        <v xml:space="preserve">0 - Vastaus puuttuu </v>
      </c>
      <c r="P51" s="1017" t="str">
        <f>IF(VLOOKUP($C$3&amp;"-"&amp;$D51,Import!$C:$H,3,FALSE)=0,"",VLOOKUP($C$3&amp;"-"&amp;$D51,Import!$C:$H,3,FALSE))</f>
        <v/>
      </c>
      <c r="Q51" s="1017" t="str">
        <f>IF(VLOOKUP($C$3&amp;"-"&amp;$D51,Import!$C:$H,4,FALSE)=0,"",VLOOKUP($C$3&amp;"-"&amp;$D51,Import!$C:$H,4,FALSE))</f>
        <v/>
      </c>
      <c r="R51" s="1017" t="str">
        <f>IF(VLOOKUP($C$3&amp;"-"&amp;$D51,Import!$C:$H,5,FALSE)=0,"",VLOOKUP($C$3&amp;"-"&amp;$D51,Import!$C:$H,5,FALSE))</f>
        <v/>
      </c>
      <c r="S51" s="1018" t="str">
        <f>IF(VLOOKUP($C$3&amp;"-"&amp;$D51,Import!$C:$H,6,FALSE)=0,"",VLOOKUP($C$3&amp;"-"&amp;$D51,Import!$C:$H,6,FALSE))</f>
        <v/>
      </c>
      <c r="T51" s="157"/>
      <c r="U51" s="256"/>
    </row>
    <row r="52" spans="1:21" s="300" customFormat="1" ht="34.950000000000003" customHeight="1" x14ac:dyDescent="0.2">
      <c r="A52" s="309"/>
      <c r="B52" s="390"/>
      <c r="C52" s="1227"/>
      <c r="D52" s="407" t="s">
        <v>212</v>
      </c>
      <c r="E52" s="514" t="str">
        <f>IF(VLOOKUP(CONCATENATE($C$3,"-",$D52),Languages!$A:$D,1,TRUE)=CONCATENATE($C$3,"-",$D52),VLOOKUP(CONCATENATE($C$3,"-",$D52),Languages!$A:$D,Summary!$C$7,TRUE),NA())</f>
        <v>Kyberarkkitehtuuri mahdollistaa saastuneiden laitteiden, ohjelmistojen ja tietovarantojen erottamisen muista.</v>
      </c>
      <c r="F52" s="403">
        <f t="shared" si="1"/>
        <v>0</v>
      </c>
      <c r="G52" s="489"/>
      <c r="H52" s="484"/>
      <c r="I52" s="484"/>
      <c r="J52" s="484"/>
      <c r="K52" s="493"/>
      <c r="L52" s="157"/>
      <c r="M52" s="256"/>
      <c r="N52" s="152"/>
      <c r="O52" s="996" t="str">
        <f>VLOOKUP(VLOOKUP($C$3&amp;"-"&amp;$D52,Import!$C:$D,2,FALSE),Parameters!$C$18:$F$22,Summary!$C$7,FALSE)</f>
        <v xml:space="preserve">0 - Vastaus puuttuu </v>
      </c>
      <c r="P52" s="1024" t="str">
        <f>IF(VLOOKUP($C$3&amp;"-"&amp;$D52,Import!$C:$H,3,FALSE)=0,"",VLOOKUP($C$3&amp;"-"&amp;$D52,Import!$C:$H,3,FALSE))</f>
        <v/>
      </c>
      <c r="Q52" s="1024" t="str">
        <f>IF(VLOOKUP($C$3&amp;"-"&amp;$D52,Import!$C:$H,4,FALSE)=0,"",VLOOKUP($C$3&amp;"-"&amp;$D52,Import!$C:$H,4,FALSE))</f>
        <v/>
      </c>
      <c r="R52" s="1024" t="str">
        <f>IF(VLOOKUP($C$3&amp;"-"&amp;$D52,Import!$C:$H,5,FALSE)=0,"",VLOOKUP($C$3&amp;"-"&amp;$D52,Import!$C:$H,5,FALSE))</f>
        <v/>
      </c>
      <c r="S52" s="1025" t="str">
        <f>IF(VLOOKUP($C$3&amp;"-"&amp;$D52,Import!$C:$H,6,FALSE)=0,"",VLOOKUP($C$3&amp;"-"&amp;$D52,Import!$C:$H,6,FALSE))</f>
        <v/>
      </c>
      <c r="T52" s="157"/>
      <c r="U52" s="256"/>
    </row>
    <row r="53" spans="1:21" s="180" customFormat="1" ht="30" customHeight="1" x14ac:dyDescent="0.25">
      <c r="A53" s="169"/>
      <c r="B53" s="273"/>
      <c r="C53" s="173">
        <v>3</v>
      </c>
      <c r="D53" s="173" t="str">
        <f>IF(VLOOKUP(CONCATENATE($C$3,"-",C53),Languages!$A:$D,1,TRUE)=CONCATENATE($C$3,"-",C53),VLOOKUP(CONCATENATE($C$3,"-",C53),Languages!$A:$D,Summary!$C$7,TRUE),NA())</f>
        <v>Laitteiden ja ohjelmistojen turvallisuus osana kyberarkkitehtuuria</v>
      </c>
      <c r="E53" s="173"/>
      <c r="F53" s="296"/>
      <c r="G53" s="1006"/>
      <c r="H53" s="1030"/>
      <c r="I53" s="1030"/>
      <c r="J53" s="1030"/>
      <c r="K53" s="1030"/>
      <c r="L53" s="157"/>
      <c r="M53" s="256"/>
      <c r="N53" s="152"/>
      <c r="O53" s="296"/>
      <c r="P53" s="297"/>
      <c r="Q53" s="297"/>
      <c r="R53" s="297"/>
      <c r="S53" s="297"/>
      <c r="T53" s="157"/>
      <c r="U53" s="256"/>
    </row>
    <row r="54" spans="1:21" s="289" customFormat="1" ht="19.95" customHeight="1" x14ac:dyDescent="0.2">
      <c r="A54" s="308"/>
      <c r="B54" s="283"/>
      <c r="C54" s="284" t="str">
        <f>IF(VLOOKUP("GEN-LEVEL",Languages!$A:$D,1,TRUE)="GEN-LEVEL",VLOOKUP("GEN-LEVEL",Languages!$A:$D,Summary!$C$7,TRUE),NA())</f>
        <v>Taso</v>
      </c>
      <c r="D54" s="284"/>
      <c r="E54" s="285" t="str">
        <f>IF(VLOOKUP("GEN-PRACTICE",Languages!$A:$D,1,TRUE)="GEN-PRACTICE",VLOOKUP("GEN-PRACTICE",Languages!$A:$D,Summary!$C$7,TRUE),NA())</f>
        <v>Käytäntö</v>
      </c>
      <c r="F54" s="286"/>
      <c r="G54" s="1003" t="str">
        <f>IF(VLOOKUP("GEN-ANSWER",Languages!$A:$D,1,TRUE)="GEN-ANSWER",VLOOKUP("GEN-ANSWER",Languages!$A:$D,Summary!$C$7,TRUE),NA())</f>
        <v>Vastaus</v>
      </c>
      <c r="H54" s="1004" t="str">
        <f>IF(VLOOKUP("KM112",Languages!$A:$D,1,TRUE)="KM112",VLOOKUP("KM112",Languages!$A:$D,Summary!$C$7,TRUE),NA())</f>
        <v>Kommentit</v>
      </c>
      <c r="I54" s="1004" t="str">
        <f>IF(VLOOKUP("KM113",Languages!$A:$D,1,TRUE)="KM113",VLOOKUP("KM113",Languages!$A:$D,Summary!$C$7,TRUE),NA())</f>
        <v>Sisäinen viittaus</v>
      </c>
      <c r="J54" s="1004" t="str">
        <f>IF(VLOOKUP("KM114",Languages!$A:$D,1,TRUE)="KM114",VLOOKUP("KM114",Languages!$A:$D,Summary!$C$7,TRUE),NA())</f>
        <v>Ulkoinen viittaus</v>
      </c>
      <c r="K54" s="1004" t="str">
        <f>IF(VLOOKUP("KM115",Languages!$A:$D,1,TRUE)="KM115",VLOOKUP("KM115",Languages!$A:$D,Summary!$C$7,TRUE),NA())</f>
        <v>Kehityskohde</v>
      </c>
      <c r="L54" s="287"/>
      <c r="M54" s="288"/>
      <c r="N54" s="283"/>
      <c r="O54" s="503" t="str">
        <f>IF(VLOOKUP("GEN-ANSWER",Languages!$A:$D,1,TRUE)="GEN-ANSWER",VLOOKUP("GEN-ANSWER",Languages!$A:$D,Summary!$C$7,TRUE),NA())</f>
        <v>Vastaus</v>
      </c>
      <c r="P54" s="503" t="str">
        <f>IF(VLOOKUP("KM112",Languages!$A:$D,1,TRUE)="KM112",VLOOKUP("KM112",Languages!$A:$D,Summary!$C$7,TRUE),NA())</f>
        <v>Kommentit</v>
      </c>
      <c r="Q54" s="503" t="str">
        <f>IF(VLOOKUP("KM113",Languages!$A:$D,1,TRUE)="KM113",VLOOKUP("KM113",Languages!$A:$D,Summary!$C$7,TRUE),NA())</f>
        <v>Sisäinen viittaus</v>
      </c>
      <c r="R54" s="503" t="str">
        <f>IF(VLOOKUP("KM114",Languages!$A:$D,1,TRUE)="KM114",VLOOKUP("KM114",Languages!$A:$D,Summary!$C$7,TRUE),NA())</f>
        <v>Ulkoinen viittaus</v>
      </c>
      <c r="S54" s="503" t="str">
        <f>IF(VLOOKUP("KM115",Languages!$A:$D,1,TRUE)="KM115",VLOOKUP("KM115",Languages!$A:$D,Summary!$C$7,TRUE),NA())</f>
        <v>Kehityskohde</v>
      </c>
      <c r="T54" s="287"/>
      <c r="U54" s="288"/>
    </row>
    <row r="55" spans="1:21" s="300" customFormat="1" ht="45" customHeight="1" x14ac:dyDescent="0.2">
      <c r="A55" s="309"/>
      <c r="B55" s="390"/>
      <c r="C55" s="568">
        <v>1</v>
      </c>
      <c r="D55" s="410" t="s">
        <v>22</v>
      </c>
      <c r="E55" s="506" t="str">
        <f>IF(VLOOKUP(CONCATENATE($C$3,"-",$D55),Languages!$A:$D,1,TRUE)=CONCATENATE($C$3,"-",$D55),VLOOKUP(CONCATENATE($C$3,"-",$D55),Languages!$A:$D,Summary!$C$7,TRUE),NA())</f>
        <v>Kyberturvallisuuden suojausmekanismeja on käytössä toiminnon kannalta tärkeille laitteille, ohjelmistoille ja tietovarannoille. Tasolla 1 tämän ei tarvitse olla systemaattista ja säännöllistä.</v>
      </c>
      <c r="F55" s="401">
        <f t="shared" ref="F55:F64" si="2">IFERROR(INT(LEFT($G55,1)),0)</f>
        <v>0</v>
      </c>
      <c r="G55" s="496"/>
      <c r="H55" s="494"/>
      <c r="I55" s="494"/>
      <c r="J55" s="494"/>
      <c r="K55" s="495"/>
      <c r="L55" s="157"/>
      <c r="M55" s="256"/>
      <c r="N55" s="152"/>
      <c r="O55" s="985" t="str">
        <f>VLOOKUP(VLOOKUP($C$3&amp;"-"&amp;$D55,Import!$C:$D,2,FALSE),Parameters!$C$18:$F$22,Summary!$C$7,FALSE)</f>
        <v xml:space="preserve">0 - Vastaus puuttuu </v>
      </c>
      <c r="P55" s="1026" t="str">
        <f>IF(VLOOKUP($C$3&amp;"-"&amp;$D55,Import!$C:$H,3,FALSE)=0,"",VLOOKUP($C$3&amp;"-"&amp;$D55,Import!$C:$H,3,FALSE))</f>
        <v/>
      </c>
      <c r="Q55" s="1026" t="str">
        <f>IF(VLOOKUP($C$3&amp;"-"&amp;$D55,Import!$C:$H,4,FALSE)=0,"",VLOOKUP($C$3&amp;"-"&amp;$D55,Import!$C:$H,4,FALSE))</f>
        <v/>
      </c>
      <c r="R55" s="1026" t="str">
        <f>IF(VLOOKUP($C$3&amp;"-"&amp;$D55,Import!$C:$H,5,FALSE)=0,"",VLOOKUP($C$3&amp;"-"&amp;$D55,Import!$C:$H,5,FALSE))</f>
        <v/>
      </c>
      <c r="S55" s="1027" t="str">
        <f>IF(VLOOKUP($C$3&amp;"-"&amp;$D55,Import!$C:$H,6,FALSE)=0,"",VLOOKUP($C$3&amp;"-"&amp;$D55,Import!$C:$H,6,FALSE))</f>
        <v/>
      </c>
      <c r="T55" s="157"/>
      <c r="U55" s="256"/>
    </row>
    <row r="56" spans="1:21" s="300" customFormat="1" ht="34.950000000000003" customHeight="1" x14ac:dyDescent="0.2">
      <c r="A56" s="309"/>
      <c r="B56" s="301"/>
      <c r="C56" s="1224">
        <v>2</v>
      </c>
      <c r="D56" s="406" t="s">
        <v>23</v>
      </c>
      <c r="E56" s="507" t="str">
        <f>IF(VLOOKUP(CONCATENATE($C$3,"-",$D56),Languages!$A:$D,1,TRUE)=CONCATENATE($C$3,"-",$D56),VLOOKUP(CONCATENATE($C$3,"-",$D56),Languages!$A:$D,Summary!$C$7,TRUE),NA())</f>
        <v>Tiukempia suojausmekanismeja käytetään korkean prioriteetin laitteille, ohjelmistoille ja tietovarannoille.</v>
      </c>
      <c r="F56" s="396">
        <f t="shared" si="2"/>
        <v>0</v>
      </c>
      <c r="G56" s="485"/>
      <c r="H56" s="482"/>
      <c r="I56" s="482"/>
      <c r="J56" s="482"/>
      <c r="K56" s="491"/>
      <c r="L56" s="157"/>
      <c r="M56" s="256"/>
      <c r="N56" s="152"/>
      <c r="O56" s="988" t="str">
        <f>VLOOKUP(VLOOKUP($C$3&amp;"-"&amp;$D56,Import!$C:$D,2,FALSE),Parameters!$C$18:$F$22,Summary!$C$7,FALSE)</f>
        <v xml:space="preserve">0 - Vastaus puuttuu </v>
      </c>
      <c r="P56" s="1022" t="str">
        <f>IF(VLOOKUP($C$3&amp;"-"&amp;$D56,Import!$C:$H,3,FALSE)=0,"",VLOOKUP($C$3&amp;"-"&amp;$D56,Import!$C:$H,3,FALSE))</f>
        <v/>
      </c>
      <c r="Q56" s="1022" t="str">
        <f>IF(VLOOKUP($C$3&amp;"-"&amp;$D56,Import!$C:$H,4,FALSE)=0,"",VLOOKUP($C$3&amp;"-"&amp;$D56,Import!$C:$H,4,FALSE))</f>
        <v/>
      </c>
      <c r="R56" s="1022" t="str">
        <f>IF(VLOOKUP($C$3&amp;"-"&amp;$D56,Import!$C:$H,5,FALSE)=0,"",VLOOKUP($C$3&amp;"-"&amp;$D56,Import!$C:$H,5,FALSE))</f>
        <v/>
      </c>
      <c r="S56" s="1023" t="str">
        <f>IF(VLOOKUP($C$3&amp;"-"&amp;$D56,Import!$C:$H,6,FALSE)=0,"",VLOOKUP($C$3&amp;"-"&amp;$D56,Import!$C:$H,6,FALSE))</f>
        <v/>
      </c>
      <c r="T56" s="157"/>
      <c r="U56" s="256"/>
    </row>
    <row r="57" spans="1:21" s="300" customFormat="1" ht="34.950000000000003" customHeight="1" x14ac:dyDescent="0.2">
      <c r="A57" s="309"/>
      <c r="B57" s="301"/>
      <c r="C57" s="1237"/>
      <c r="D57" s="298" t="s">
        <v>24</v>
      </c>
      <c r="E57" s="508" t="str">
        <f>IF(VLOOKUP(CONCATENATE($C$3,"-",$D57),Languages!$A:$D,1,TRUE)=CONCATENATE($C$3,"-",$D57),VLOOKUP(CONCATENATE($C$3,"-",$D57),Languages!$A:$D,Summary!$C$7,TRUE),NA())</f>
        <v>Pienimmän käyttöoikeuden periaate on pantu täytäntöön (esimerkiksi rajoittamalla hallinta- tai ylläpitotunnusten oikeuksia).</v>
      </c>
      <c r="F57" s="291">
        <f t="shared" si="2"/>
        <v>0</v>
      </c>
      <c r="G57" s="311"/>
      <c r="H57" s="483"/>
      <c r="I57" s="483"/>
      <c r="J57" s="483"/>
      <c r="K57" s="492"/>
      <c r="L57" s="157"/>
      <c r="M57" s="256"/>
      <c r="N57" s="152"/>
      <c r="O57" s="991" t="str">
        <f>VLOOKUP(VLOOKUP($C$3&amp;"-"&amp;$D57,Import!$C:$D,2,FALSE),Parameters!$C$18:$F$22,Summary!$C$7,FALSE)</f>
        <v xml:space="preserve">0 - Vastaus puuttuu </v>
      </c>
      <c r="P57" s="1017" t="str">
        <f>IF(VLOOKUP($C$3&amp;"-"&amp;$D57,Import!$C:$H,3,FALSE)=0,"",VLOOKUP($C$3&amp;"-"&amp;$D57,Import!$C:$H,3,FALSE))</f>
        <v/>
      </c>
      <c r="Q57" s="1017" t="str">
        <f>IF(VLOOKUP($C$3&amp;"-"&amp;$D57,Import!$C:$H,4,FALSE)=0,"",VLOOKUP($C$3&amp;"-"&amp;$D57,Import!$C:$H,4,FALSE))</f>
        <v/>
      </c>
      <c r="R57" s="1017" t="str">
        <f>IF(VLOOKUP($C$3&amp;"-"&amp;$D57,Import!$C:$H,5,FALSE)=0,"",VLOOKUP($C$3&amp;"-"&amp;$D57,Import!$C:$H,5,FALSE))</f>
        <v/>
      </c>
      <c r="S57" s="1018" t="str">
        <f>IF(VLOOKUP($C$3&amp;"-"&amp;$D57,Import!$C:$H,6,FALSE)=0,"",VLOOKUP($C$3&amp;"-"&amp;$D57,Import!$C:$H,6,FALSE))</f>
        <v/>
      </c>
      <c r="T57" s="157"/>
      <c r="U57" s="256"/>
    </row>
    <row r="58" spans="1:21" s="300" customFormat="1" ht="40.799999999999997" customHeight="1" x14ac:dyDescent="0.2">
      <c r="A58" s="309"/>
      <c r="B58" s="301"/>
      <c r="C58" s="1237"/>
      <c r="D58" s="298" t="s">
        <v>25</v>
      </c>
      <c r="E58" s="508" t="str">
        <f>IF(VLOOKUP(CONCATENATE($C$3,"-",$D58),Languages!$A:$D,1,TRUE)=CONCATENATE($C$3,"-",$D58),VLOOKUP(CONCATENATE($C$3,"-",$D58),Languages!$A:$D,Summary!$C$7,TRUE),NA())</f>
        <v>Pienimmän toiminnallisuuden periaate on pantu täytäntöön (esim. rajoittamalla käytettäviä palveluita, ohjelmia, portteja tai liitettäviä laitteita).</v>
      </c>
      <c r="F58" s="291">
        <f t="shared" si="2"/>
        <v>0</v>
      </c>
      <c r="G58" s="311"/>
      <c r="H58" s="483"/>
      <c r="I58" s="483"/>
      <c r="J58" s="483"/>
      <c r="K58" s="492"/>
      <c r="L58" s="157"/>
      <c r="M58" s="256"/>
      <c r="N58" s="152"/>
      <c r="O58" s="991" t="str">
        <f>VLOOKUP(VLOOKUP($C$3&amp;"-"&amp;$D58,Import!$C:$D,2,FALSE),Parameters!$C$18:$F$22,Summary!$C$7,FALSE)</f>
        <v xml:space="preserve">0 - Vastaus puuttuu </v>
      </c>
      <c r="P58" s="1017" t="str">
        <f>IF(VLOOKUP($C$3&amp;"-"&amp;$D58,Import!$C:$H,3,FALSE)=0,"",VLOOKUP($C$3&amp;"-"&amp;$D58,Import!$C:$H,3,FALSE))</f>
        <v/>
      </c>
      <c r="Q58" s="1017" t="str">
        <f>IF(VLOOKUP($C$3&amp;"-"&amp;$D58,Import!$C:$H,4,FALSE)=0,"",VLOOKUP($C$3&amp;"-"&amp;$D58,Import!$C:$H,4,FALSE))</f>
        <v/>
      </c>
      <c r="R58" s="1017" t="str">
        <f>IF(VLOOKUP($C$3&amp;"-"&amp;$D58,Import!$C:$H,5,FALSE)=0,"",VLOOKUP($C$3&amp;"-"&amp;$D58,Import!$C:$H,5,FALSE))</f>
        <v/>
      </c>
      <c r="S58" s="1018" t="str">
        <f>IF(VLOOKUP($C$3&amp;"-"&amp;$D58,Import!$C:$H,6,FALSE)=0,"",VLOOKUP($C$3&amp;"-"&amp;$D58,Import!$C:$H,6,FALSE))</f>
        <v/>
      </c>
      <c r="T58" s="157"/>
      <c r="U58" s="256"/>
    </row>
    <row r="59" spans="1:21" s="300" customFormat="1" ht="34.950000000000003" customHeight="1" x14ac:dyDescent="0.2">
      <c r="A59" s="309"/>
      <c r="B59" s="301"/>
      <c r="C59" s="1237"/>
      <c r="D59" s="298" t="s">
        <v>26</v>
      </c>
      <c r="E59" s="508" t="str">
        <f>IF(VLOOKUP(CONCATENATE($C$3,"-",$D59),Languages!$A:$D,1,TRUE)=CONCATENATE($C$3,"-",$D59),VLOOKUP(CONCATENATE($C$3,"-",$D59),Languages!$A:$D,Summary!$C$7,TRUE),NA())</f>
        <v>Turvallisia konfiguraatioita käytetään soveltuvin osin osana laitteiden, ohjelmistojen ja tietovarantojen käyttöönottoprosessia.</v>
      </c>
      <c r="F59" s="291">
        <f t="shared" si="2"/>
        <v>0</v>
      </c>
      <c r="G59" s="311"/>
      <c r="H59" s="483"/>
      <c r="I59" s="483"/>
      <c r="J59" s="483"/>
      <c r="K59" s="492"/>
      <c r="L59" s="157"/>
      <c r="M59" s="256"/>
      <c r="N59" s="152"/>
      <c r="O59" s="991" t="str">
        <f>VLOOKUP(VLOOKUP($C$3&amp;"-"&amp;$D59,Import!$C:$D,2,FALSE),Parameters!$C$18:$F$22,Summary!$C$7,FALSE)</f>
        <v xml:space="preserve">0 - Vastaus puuttuu </v>
      </c>
      <c r="P59" s="1017" t="str">
        <f>IF(VLOOKUP($C$3&amp;"-"&amp;$D59,Import!$C:$H,3,FALSE)=0,"",VLOOKUP($C$3&amp;"-"&amp;$D59,Import!$C:$H,3,FALSE))</f>
        <v/>
      </c>
      <c r="Q59" s="1017" t="str">
        <f>IF(VLOOKUP($C$3&amp;"-"&amp;$D59,Import!$C:$H,4,FALSE)=0,"",VLOOKUP($C$3&amp;"-"&amp;$D59,Import!$C:$H,4,FALSE))</f>
        <v/>
      </c>
      <c r="R59" s="1017" t="str">
        <f>IF(VLOOKUP($C$3&amp;"-"&amp;$D59,Import!$C:$H,5,FALSE)=0,"",VLOOKUP($C$3&amp;"-"&amp;$D59,Import!$C:$H,5,FALSE))</f>
        <v/>
      </c>
      <c r="S59" s="1018" t="str">
        <f>IF(VLOOKUP($C$3&amp;"-"&amp;$D59,Import!$C:$H,6,FALSE)=0,"",VLOOKUP($C$3&amp;"-"&amp;$D59,Import!$C:$H,6,FALSE))</f>
        <v/>
      </c>
      <c r="T59" s="157"/>
      <c r="U59" s="256"/>
    </row>
    <row r="60" spans="1:21" s="300" customFormat="1" ht="45" customHeight="1" x14ac:dyDescent="0.2">
      <c r="A60" s="309"/>
      <c r="B60" s="390"/>
      <c r="C60" s="1237"/>
      <c r="D60" s="298" t="s">
        <v>27</v>
      </c>
      <c r="E60" s="508" t="str">
        <f>IF(VLOOKUP(CONCATENATE($C$3,"-",$D60),Languages!$A:$D,1,TRUE)=CONCATENATE($C$3,"-",$D60),VLOOKUP(CONCATENATE($C$3,"-",$D60),Languages!$A:$D,Summary!$C$7,TRUE),NA())</f>
        <v>Tietoturvaohjelmistot vaaditaan soveltuvin osin osana laitteiden konfiguraatiota (esimerkiksi päätelaitteen turva- ja havainnointiratkaisut tai päätelaitekohtaiset palomuuriratkaisut).</v>
      </c>
      <c r="F60" s="291">
        <f t="shared" si="2"/>
        <v>0</v>
      </c>
      <c r="G60" s="311"/>
      <c r="H60" s="483"/>
      <c r="I60" s="483"/>
      <c r="J60" s="483"/>
      <c r="K60" s="492"/>
      <c r="L60" s="157"/>
      <c r="M60" s="256"/>
      <c r="N60" s="152"/>
      <c r="O60" s="991" t="str">
        <f>VLOOKUP(VLOOKUP($C$3&amp;"-"&amp;$D60,Import!$C:$D,2,FALSE),Parameters!$C$18:$F$22,Summary!$C$7,FALSE)</f>
        <v xml:space="preserve">0 - Vastaus puuttuu </v>
      </c>
      <c r="P60" s="1017" t="str">
        <f>IF(VLOOKUP($C$3&amp;"-"&amp;$D60,Import!$C:$H,3,FALSE)=0,"",VLOOKUP($C$3&amp;"-"&amp;$D60,Import!$C:$H,3,FALSE))</f>
        <v/>
      </c>
      <c r="Q60" s="1017" t="str">
        <f>IF(VLOOKUP($C$3&amp;"-"&amp;$D60,Import!$C:$H,4,FALSE)=0,"",VLOOKUP($C$3&amp;"-"&amp;$D60,Import!$C:$H,4,FALSE))</f>
        <v/>
      </c>
      <c r="R60" s="1017" t="str">
        <f>IF(VLOOKUP($C$3&amp;"-"&amp;$D60,Import!$C:$H,5,FALSE)=0,"",VLOOKUP($C$3&amp;"-"&amp;$D60,Import!$C:$H,5,FALSE))</f>
        <v/>
      </c>
      <c r="S60" s="1018" t="str">
        <f>IF(VLOOKUP($C$3&amp;"-"&amp;$D60,Import!$C:$H,6,FALSE)=0,"",VLOOKUP($C$3&amp;"-"&amp;$D60,Import!$C:$H,6,FALSE))</f>
        <v/>
      </c>
      <c r="T60" s="157"/>
      <c r="U60" s="256"/>
    </row>
    <row r="61" spans="1:21" s="300" customFormat="1" ht="34.950000000000003" customHeight="1" x14ac:dyDescent="0.2">
      <c r="A61" s="309"/>
      <c r="B61" s="390"/>
      <c r="C61" s="1237"/>
      <c r="D61" s="298" t="s">
        <v>28</v>
      </c>
      <c r="E61" s="508" t="str">
        <f>IF(VLOOKUP(CONCATENATE($C$3,"-",$D61),Languages!$A:$D,1,TRUE)=CONCATENATE($C$3,"-",$D61),VLOOKUP(CONCATENATE($C$3,"-",$D61),Languages!$A:$D,Summary!$C$7,TRUE),NA())</f>
        <v>Siirrettäviä ja irrotettavia muistilaitteita valvotaan (esimerkiksi rajoittamalla USB-laitteiden tai ulkoisten levyjen käyttöä).</v>
      </c>
      <c r="F61" s="291">
        <f t="shared" si="2"/>
        <v>0</v>
      </c>
      <c r="G61" s="311"/>
      <c r="H61" s="483"/>
      <c r="I61" s="483"/>
      <c r="J61" s="483"/>
      <c r="K61" s="492"/>
      <c r="L61" s="157"/>
      <c r="M61" s="256"/>
      <c r="N61" s="152"/>
      <c r="O61" s="991" t="str">
        <f>VLOOKUP(VLOOKUP($C$3&amp;"-"&amp;$D61,Import!$C:$D,2,FALSE),Parameters!$C$18:$F$22,Summary!$C$7,FALSE)</f>
        <v xml:space="preserve">0 - Vastaus puuttuu </v>
      </c>
      <c r="P61" s="1017" t="str">
        <f>IF(VLOOKUP($C$3&amp;"-"&amp;$D61,Import!$C:$H,3,FALSE)=0,"",VLOOKUP($C$3&amp;"-"&amp;$D61,Import!$C:$H,3,FALSE))</f>
        <v/>
      </c>
      <c r="Q61" s="1017" t="str">
        <f>IF(VLOOKUP($C$3&amp;"-"&amp;$D61,Import!$C:$H,4,FALSE)=0,"",VLOOKUP($C$3&amp;"-"&amp;$D61,Import!$C:$H,4,FALSE))</f>
        <v/>
      </c>
      <c r="R61" s="1017" t="str">
        <f>IF(VLOOKUP($C$3&amp;"-"&amp;$D61,Import!$C:$H,5,FALSE)=0,"",VLOOKUP($C$3&amp;"-"&amp;$D61,Import!$C:$H,5,FALSE))</f>
        <v/>
      </c>
      <c r="S61" s="1018" t="str">
        <f>IF(VLOOKUP($C$3&amp;"-"&amp;$D61,Import!$C:$H,6,FALSE)=0,"",VLOOKUP($C$3&amp;"-"&amp;$D61,Import!$C:$H,6,FALSE))</f>
        <v/>
      </c>
      <c r="T61" s="157"/>
      <c r="U61" s="256"/>
    </row>
    <row r="62" spans="1:21" s="300" customFormat="1" ht="60" customHeight="1" x14ac:dyDescent="0.2">
      <c r="A62" s="309"/>
      <c r="B62" s="390"/>
      <c r="C62" s="1225"/>
      <c r="D62" s="407" t="s">
        <v>244</v>
      </c>
      <c r="E62" s="514" t="str">
        <f>IF(VLOOKUP(CONCATENATE($C$3,"-",$D62),Languages!$A:$D,1,TRUE)=CONCATENATE($C$3,"-",$D62),VLOOKUP(CONCATENATE($C$3,"-",$D62),Languages!$A:$D,Summary!$C$7,TRUE),NA())</f>
        <v>Kyberturvallisuuden suojausmekanismeja (mukaan lukien fyysiset pääsynhallinnan keinot) käytetään kaikkien toimintoon kuuluvien laitteiden, ohjelmistojen ja tietovarantojen kohdalla, joko laitetasolla tai muilla keinoin, mikäli laitetason kontrolleja ei voida toteuttaa.</v>
      </c>
      <c r="F62" s="403">
        <f t="shared" si="2"/>
        <v>0</v>
      </c>
      <c r="G62" s="489"/>
      <c r="H62" s="484"/>
      <c r="I62" s="484"/>
      <c r="J62" s="484"/>
      <c r="K62" s="493"/>
      <c r="L62" s="157"/>
      <c r="M62" s="256"/>
      <c r="N62" s="152"/>
      <c r="O62" s="996" t="str">
        <f>VLOOKUP(VLOOKUP($C$3&amp;"-"&amp;$D62,Import!$C:$D,2,FALSE),Parameters!$C$18:$F$22,Summary!$C$7,FALSE)</f>
        <v xml:space="preserve">0 - Vastaus puuttuu </v>
      </c>
      <c r="P62" s="1024" t="str">
        <f>IF(VLOOKUP($C$3&amp;"-"&amp;$D62,Import!$C:$H,3,FALSE)=0,"",VLOOKUP($C$3&amp;"-"&amp;$D62,Import!$C:$H,3,FALSE))</f>
        <v/>
      </c>
      <c r="Q62" s="1024" t="str">
        <f>IF(VLOOKUP($C$3&amp;"-"&amp;$D62,Import!$C:$H,4,FALSE)=0,"",VLOOKUP($C$3&amp;"-"&amp;$D62,Import!$C:$H,4,FALSE))</f>
        <v/>
      </c>
      <c r="R62" s="1024" t="str">
        <f>IF(VLOOKUP($C$3&amp;"-"&amp;$D62,Import!$C:$H,5,FALSE)=0,"",VLOOKUP($C$3&amp;"-"&amp;$D62,Import!$C:$H,5,FALSE))</f>
        <v/>
      </c>
      <c r="S62" s="1025" t="str">
        <f>IF(VLOOKUP($C$3&amp;"-"&amp;$D62,Import!$C:$H,6,FALSE)=0,"",VLOOKUP($C$3&amp;"-"&amp;$D62,Import!$C:$H,6,FALSE))</f>
        <v/>
      </c>
      <c r="T62" s="157"/>
      <c r="U62" s="256"/>
    </row>
    <row r="63" spans="1:21" s="300" customFormat="1" ht="34.950000000000003" customHeight="1" x14ac:dyDescent="0.2">
      <c r="A63" s="309"/>
      <c r="B63" s="390"/>
      <c r="C63" s="1226">
        <v>3</v>
      </c>
      <c r="D63" s="406" t="s">
        <v>277</v>
      </c>
      <c r="E63" s="507" t="str">
        <f>IF(VLOOKUP(CONCATENATE($C$3,"-",$D63),Languages!$A:$D,1,TRUE)=CONCATENATE($C$3,"-",$D63),VLOOKUP(CONCATENATE($C$3,"-",$D63),Languages!$A:$D,Summary!$C$7,TRUE),NA())</f>
        <v>Laiteohjelmistojen (firmware) konfiguraatioita ja muutoksia hallitaan koko laitteen eliniän ajan.</v>
      </c>
      <c r="F63" s="396">
        <f t="shared" si="2"/>
        <v>0</v>
      </c>
      <c r="G63" s="485"/>
      <c r="H63" s="482"/>
      <c r="I63" s="482"/>
      <c r="J63" s="482"/>
      <c r="K63" s="491"/>
      <c r="L63" s="157"/>
      <c r="M63" s="256"/>
      <c r="N63" s="152"/>
      <c r="O63" s="988" t="str">
        <f>VLOOKUP(VLOOKUP($C$3&amp;"-"&amp;$D63,Import!$C:$D,2,FALSE),Parameters!$C$18:$F$22,Summary!$C$7,FALSE)</f>
        <v xml:space="preserve">0 - Vastaus puuttuu </v>
      </c>
      <c r="P63" s="1022" t="str">
        <f>IF(VLOOKUP($C$3&amp;"-"&amp;$D63,Import!$C:$H,3,FALSE)=0,"",VLOOKUP($C$3&amp;"-"&amp;$D63,Import!$C:$H,3,FALSE))</f>
        <v/>
      </c>
      <c r="Q63" s="1022" t="str">
        <f>IF(VLOOKUP($C$3&amp;"-"&amp;$D63,Import!$C:$H,4,FALSE)=0,"",VLOOKUP($C$3&amp;"-"&amp;$D63,Import!$C:$H,4,FALSE))</f>
        <v/>
      </c>
      <c r="R63" s="1022" t="str">
        <f>IF(VLOOKUP($C$3&amp;"-"&amp;$D63,Import!$C:$H,5,FALSE)=0,"",VLOOKUP($C$3&amp;"-"&amp;$D63,Import!$C:$H,5,FALSE))</f>
        <v/>
      </c>
      <c r="S63" s="1023" t="str">
        <f>IF(VLOOKUP($C$3&amp;"-"&amp;$D63,Import!$C:$H,6,FALSE)=0,"",VLOOKUP($C$3&amp;"-"&amp;$D63,Import!$C:$H,6,FALSE))</f>
        <v/>
      </c>
      <c r="T63" s="157"/>
      <c r="U63" s="256"/>
    </row>
    <row r="64" spans="1:21" s="300" customFormat="1" ht="34.950000000000003" customHeight="1" x14ac:dyDescent="0.2">
      <c r="A64" s="309"/>
      <c r="B64" s="390"/>
      <c r="C64" s="1227"/>
      <c r="D64" s="407" t="s">
        <v>279</v>
      </c>
      <c r="E64" s="514" t="str">
        <f>IF(VLOOKUP(CONCATENATE($C$3,"-",$D64),Languages!$A:$D,1,TRUE)=CONCATENATE($C$3,"-",$D64),VLOOKUP(CONCATENATE($C$3,"-",$D64),Languages!$A:$D,Summary!$C$7,TRUE),NA())</f>
        <v>Suojausmekanismeja on käytössä estämään luvattoman koodin suorittaminen.</v>
      </c>
      <c r="F64" s="403">
        <f t="shared" si="2"/>
        <v>0</v>
      </c>
      <c r="G64" s="489"/>
      <c r="H64" s="484"/>
      <c r="I64" s="484"/>
      <c r="J64" s="484"/>
      <c r="K64" s="493"/>
      <c r="L64" s="157"/>
      <c r="M64" s="256"/>
      <c r="N64" s="152"/>
      <c r="O64" s="996" t="str">
        <f>VLOOKUP(VLOOKUP($C$3&amp;"-"&amp;$D64,Import!$C:$D,2,FALSE),Parameters!$C$18:$F$22,Summary!$C$7,FALSE)</f>
        <v xml:space="preserve">0 - Vastaus puuttuu </v>
      </c>
      <c r="P64" s="1024" t="str">
        <f>IF(VLOOKUP($C$3&amp;"-"&amp;$D64,Import!$C:$H,3,FALSE)=0,"",VLOOKUP($C$3&amp;"-"&amp;$D64,Import!$C:$H,3,FALSE))</f>
        <v/>
      </c>
      <c r="Q64" s="1024" t="str">
        <f>IF(VLOOKUP($C$3&amp;"-"&amp;$D64,Import!$C:$H,4,FALSE)=0,"",VLOOKUP($C$3&amp;"-"&amp;$D64,Import!$C:$H,4,FALSE))</f>
        <v/>
      </c>
      <c r="R64" s="1024" t="str">
        <f>IF(VLOOKUP($C$3&amp;"-"&amp;$D64,Import!$C:$H,5,FALSE)=0,"",VLOOKUP($C$3&amp;"-"&amp;$D64,Import!$C:$H,5,FALSE))</f>
        <v/>
      </c>
      <c r="S64" s="1025" t="str">
        <f>IF(VLOOKUP($C$3&amp;"-"&amp;$D64,Import!$C:$H,6,FALSE)=0,"",VLOOKUP($C$3&amp;"-"&amp;$D64,Import!$C:$H,6,FALSE))</f>
        <v/>
      </c>
      <c r="T64" s="157"/>
      <c r="U64" s="256"/>
    </row>
    <row r="65" spans="1:21" s="180" customFormat="1" ht="30" customHeight="1" x14ac:dyDescent="0.25">
      <c r="A65" s="169"/>
      <c r="B65" s="273"/>
      <c r="C65" s="173">
        <v>4</v>
      </c>
      <c r="D65" s="173" t="str">
        <f>IF(VLOOKUP(CONCATENATE($C$3,"-",C65),Languages!$A:$D,1,TRUE)=CONCATENATE($C$3,"-",C65),VLOOKUP(CONCATENATE($C$3,"-",C65),Languages!$A:$D,Summary!$C$7,TRUE),NA())</f>
        <v>Sovellusturvallisuus osana kyberarkkitehtuuria</v>
      </c>
      <c r="E65" s="173"/>
      <c r="F65" s="296"/>
      <c r="G65" s="1006"/>
      <c r="H65" s="1030"/>
      <c r="I65" s="1030"/>
      <c r="J65" s="1030"/>
      <c r="K65" s="1030"/>
      <c r="L65" s="157"/>
      <c r="M65" s="256"/>
      <c r="N65" s="152"/>
      <c r="O65" s="296"/>
      <c r="P65" s="297"/>
      <c r="Q65" s="297"/>
      <c r="R65" s="297"/>
      <c r="S65" s="297"/>
      <c r="T65" s="157"/>
      <c r="U65" s="256"/>
    </row>
    <row r="66" spans="1:21" s="289" customFormat="1" ht="19.95" customHeight="1" x14ac:dyDescent="0.2">
      <c r="A66" s="308"/>
      <c r="B66" s="283"/>
      <c r="C66" s="284" t="str">
        <f>IF(VLOOKUP("GEN-LEVEL",Languages!$A:$D,1,TRUE)="GEN-LEVEL",VLOOKUP("GEN-LEVEL",Languages!$A:$D,Summary!$C$7,TRUE),NA())</f>
        <v>Taso</v>
      </c>
      <c r="D66" s="284"/>
      <c r="E66" s="285" t="str">
        <f>IF(VLOOKUP("GEN-PRACTICE",Languages!$A:$D,1,TRUE)="GEN-PRACTICE",VLOOKUP("GEN-PRACTICE",Languages!$A:$D,Summary!$C$7,TRUE),NA())</f>
        <v>Käytäntö</v>
      </c>
      <c r="F66" s="286"/>
      <c r="G66" s="1003" t="str">
        <f>IF(VLOOKUP("GEN-ANSWER",Languages!$A:$D,1,TRUE)="GEN-ANSWER",VLOOKUP("GEN-ANSWER",Languages!$A:$D,Summary!$C$7,TRUE),NA())</f>
        <v>Vastaus</v>
      </c>
      <c r="H66" s="1004" t="str">
        <f>IF(VLOOKUP("KM112",Languages!$A:$D,1,TRUE)="KM112",VLOOKUP("KM112",Languages!$A:$D,Summary!$C$7,TRUE),NA())</f>
        <v>Kommentit</v>
      </c>
      <c r="I66" s="1004" t="str">
        <f>IF(VLOOKUP("KM113",Languages!$A:$D,1,TRUE)="KM113",VLOOKUP("KM113",Languages!$A:$D,Summary!$C$7,TRUE),NA())</f>
        <v>Sisäinen viittaus</v>
      </c>
      <c r="J66" s="1004" t="str">
        <f>IF(VLOOKUP("KM114",Languages!$A:$D,1,TRUE)="KM114",VLOOKUP("KM114",Languages!$A:$D,Summary!$C$7,TRUE),NA())</f>
        <v>Ulkoinen viittaus</v>
      </c>
      <c r="K66" s="1004" t="str">
        <f>IF(VLOOKUP("KM115",Languages!$A:$D,1,TRUE)="KM115",VLOOKUP("KM115",Languages!$A:$D,Summary!$C$7,TRUE),NA())</f>
        <v>Kehityskohde</v>
      </c>
      <c r="L66" s="287"/>
      <c r="M66" s="288"/>
      <c r="N66" s="283"/>
      <c r="O66" s="503" t="str">
        <f>IF(VLOOKUP("GEN-ANSWER",Languages!$A:$D,1,TRUE)="GEN-ANSWER",VLOOKUP("GEN-ANSWER",Languages!$A:$D,Summary!$C$7,TRUE),NA())</f>
        <v>Vastaus</v>
      </c>
      <c r="P66" s="503" t="str">
        <f>IF(VLOOKUP("KM112",Languages!$A:$D,1,TRUE)="KM112",VLOOKUP("KM112",Languages!$A:$D,Summary!$C$7,TRUE),NA())</f>
        <v>Kommentit</v>
      </c>
      <c r="Q66" s="503" t="str">
        <f>IF(VLOOKUP("KM113",Languages!$A:$D,1,TRUE)="KM113",VLOOKUP("KM113",Languages!$A:$D,Summary!$C$7,TRUE),NA())</f>
        <v>Sisäinen viittaus</v>
      </c>
      <c r="R66" s="503" t="str">
        <f>IF(VLOOKUP("KM114",Languages!$A:$D,1,TRUE)="KM114",VLOOKUP("KM114",Languages!$A:$D,Summary!$C$7,TRUE),NA())</f>
        <v>Ulkoinen viittaus</v>
      </c>
      <c r="S66" s="503" t="str">
        <f>IF(VLOOKUP("KM115",Languages!$A:$D,1,TRUE)="KM115",VLOOKUP("KM115",Languages!$A:$D,Summary!$C$7,TRUE),NA())</f>
        <v>Kehityskohde</v>
      </c>
      <c r="T66" s="287"/>
      <c r="U66" s="288"/>
    </row>
    <row r="67" spans="1:21" s="300" customFormat="1" ht="45" customHeight="1" x14ac:dyDescent="0.2">
      <c r="A67" s="309"/>
      <c r="B67" s="301"/>
      <c r="C67" s="497">
        <v>1</v>
      </c>
      <c r="D67" s="410"/>
      <c r="E67" s="506"/>
      <c r="F67" s="401"/>
      <c r="G67" s="1031"/>
      <c r="H67" s="547"/>
      <c r="I67" s="547"/>
      <c r="J67" s="547"/>
      <c r="K67" s="411"/>
      <c r="L67" s="157"/>
      <c r="M67" s="256"/>
      <c r="N67" s="152"/>
      <c r="O67" s="401"/>
      <c r="P67" s="1028"/>
      <c r="Q67" s="1028"/>
      <c r="R67" s="1028"/>
      <c r="S67" s="1029"/>
      <c r="T67" s="157"/>
      <c r="U67" s="256"/>
    </row>
    <row r="68" spans="1:21" s="300" customFormat="1" ht="54" customHeight="1" x14ac:dyDescent="0.2">
      <c r="A68" s="309"/>
      <c r="B68" s="301"/>
      <c r="C68" s="1224">
        <v>2</v>
      </c>
      <c r="D68" s="406" t="s">
        <v>123</v>
      </c>
      <c r="E68" s="507" t="str">
        <f>IF(VLOOKUP(CONCATENATE($C$3,"-",$D68),Languages!$A:$D,1,TRUE)=CONCATENATE($C$3,"-",$D68),VLOOKUP(CONCATENATE($C$3,"-",$D68),Languages!$A:$D,Summary!$C$7,TRUE),NA())</f>
        <v>Sisäisesti kehitettävät ohjelmistot ja sovellukset, jotka on tarkoitettu otettavaksi käyttöön korkean prioriteetin laitteissa tai ohjelmistoissa [kts. ASSET-1d], kehitetään käyttäen turvallisen sovelluskehityksen periaatteita.</v>
      </c>
      <c r="F68" s="396">
        <f t="shared" ref="F68:F75" si="3">IFERROR(INT(LEFT($G68,1)),0)</f>
        <v>0</v>
      </c>
      <c r="G68" s="485"/>
      <c r="H68" s="482"/>
      <c r="I68" s="482"/>
      <c r="J68" s="482"/>
      <c r="K68" s="491"/>
      <c r="L68" s="157"/>
      <c r="M68" s="256"/>
      <c r="N68" s="152"/>
      <c r="O68" s="988" t="str">
        <f>VLOOKUP(VLOOKUP($C$3&amp;"-"&amp;$D68,Import!$C:$D,2,FALSE),Parameters!$C$18:$F$22,Summary!$C$7,FALSE)</f>
        <v xml:space="preserve">0 - Vastaus puuttuu </v>
      </c>
      <c r="P68" s="1022" t="str">
        <f>IF(VLOOKUP($C$3&amp;"-"&amp;$D68,Import!$C:$H,3,FALSE)=0,"",VLOOKUP($C$3&amp;"-"&amp;$D68,Import!$C:$H,3,FALSE))</f>
        <v/>
      </c>
      <c r="Q68" s="1022" t="str">
        <f>IF(VLOOKUP($C$3&amp;"-"&amp;$D68,Import!$C:$H,4,FALSE)=0,"",VLOOKUP($C$3&amp;"-"&amp;$D68,Import!$C:$H,4,FALSE))</f>
        <v/>
      </c>
      <c r="R68" s="1022" t="str">
        <f>IF(VLOOKUP($C$3&amp;"-"&amp;$D68,Import!$C:$H,5,FALSE)=0,"",VLOOKUP($C$3&amp;"-"&amp;$D68,Import!$C:$H,5,FALSE))</f>
        <v/>
      </c>
      <c r="S68" s="1023" t="str">
        <f>IF(VLOOKUP($C$3&amp;"-"&amp;$D68,Import!$C:$H,6,FALSE)=0,"",VLOOKUP($C$3&amp;"-"&amp;$D68,Import!$C:$H,6,FALSE))</f>
        <v/>
      </c>
      <c r="T68" s="157"/>
      <c r="U68" s="256"/>
    </row>
    <row r="69" spans="1:21" s="300" customFormat="1" ht="45" customHeight="1" x14ac:dyDescent="0.2">
      <c r="A69" s="309"/>
      <c r="B69" s="301"/>
      <c r="C69" s="1237"/>
      <c r="D69" s="298" t="s">
        <v>126</v>
      </c>
      <c r="E69" s="508" t="str">
        <f>IF(VLOOKUP(CONCATENATE($C$3,"-",$D69),Languages!$A:$D,1,TRUE)=CONCATENATE($C$3,"-",$D69),VLOOKUP(CONCATENATE($C$3,"-",$D69),Languages!$A:$D,Summary!$C$7,TRUE),NA())</f>
        <v>Korkean prioriteetin laitteisiin tai ohjelmistoihin [kts. ASSET-1d] tehtävien ohjelmisto- ja sovellushankintojen valinnassa huomioidaan noudattaako toimittaja turvallisen sovelluskehityksen periaatteita.</v>
      </c>
      <c r="F69" s="291">
        <f t="shared" si="3"/>
        <v>0</v>
      </c>
      <c r="G69" s="311"/>
      <c r="H69" s="483"/>
      <c r="I69" s="483"/>
      <c r="J69" s="483"/>
      <c r="K69" s="492"/>
      <c r="L69" s="157"/>
      <c r="M69" s="256"/>
      <c r="N69" s="152"/>
      <c r="O69" s="991" t="str">
        <f>VLOOKUP(VLOOKUP($C$3&amp;"-"&amp;$D69,Import!$C:$D,2,FALSE),Parameters!$C$18:$F$22,Summary!$C$7,FALSE)</f>
        <v xml:space="preserve">0 - Vastaus puuttuu </v>
      </c>
      <c r="P69" s="1017" t="str">
        <f>IF(VLOOKUP($C$3&amp;"-"&amp;$D69,Import!$C:$H,3,FALSE)=0,"",VLOOKUP($C$3&amp;"-"&amp;$D69,Import!$C:$H,3,FALSE))</f>
        <v/>
      </c>
      <c r="Q69" s="1017" t="str">
        <f>IF(VLOOKUP($C$3&amp;"-"&amp;$D69,Import!$C:$H,4,FALSE)=0,"",VLOOKUP($C$3&amp;"-"&amp;$D69,Import!$C:$H,4,FALSE))</f>
        <v/>
      </c>
      <c r="R69" s="1017" t="str">
        <f>IF(VLOOKUP($C$3&amp;"-"&amp;$D69,Import!$C:$H,5,FALSE)=0,"",VLOOKUP($C$3&amp;"-"&amp;$D69,Import!$C:$H,5,FALSE))</f>
        <v/>
      </c>
      <c r="S69" s="1018" t="str">
        <f>IF(VLOOKUP($C$3&amp;"-"&amp;$D69,Import!$C:$H,6,FALSE)=0,"",VLOOKUP($C$3&amp;"-"&amp;$D69,Import!$C:$H,6,FALSE))</f>
        <v/>
      </c>
      <c r="T69" s="157"/>
      <c r="U69" s="256"/>
    </row>
    <row r="70" spans="1:21" s="300" customFormat="1" ht="34.950000000000003" customHeight="1" x14ac:dyDescent="0.2">
      <c r="A70" s="309"/>
      <c r="B70" s="301"/>
      <c r="C70" s="1225"/>
      <c r="D70" s="407" t="s">
        <v>129</v>
      </c>
      <c r="E70" s="514" t="str">
        <f>IF(VLOOKUP(CONCATENATE($C$3,"-",$D70),Languages!$A:$D,1,TRUE)=CONCATENATE($C$3,"-",$D70),VLOOKUP(CONCATENATE($C$3,"-",$D70),Languages!$A:$D,Summary!$C$7,TRUE),NA())</f>
        <v>Ohjelmistojen ja sovellusten käyttöönottoprosessissa edellytetään turvallisia ohjelmistokonfiguraatioita.</v>
      </c>
      <c r="F70" s="403">
        <f t="shared" si="3"/>
        <v>0</v>
      </c>
      <c r="G70" s="489"/>
      <c r="H70" s="484"/>
      <c r="I70" s="484"/>
      <c r="J70" s="484"/>
      <c r="K70" s="493"/>
      <c r="L70" s="157"/>
      <c r="M70" s="256"/>
      <c r="N70" s="152"/>
      <c r="O70" s="996" t="str">
        <f>VLOOKUP(VLOOKUP($C$3&amp;"-"&amp;$D70,Import!$C:$D,2,FALSE),Parameters!$C$18:$F$22,Summary!$C$7,FALSE)</f>
        <v xml:space="preserve">0 - Vastaus puuttuu </v>
      </c>
      <c r="P70" s="1024" t="str">
        <f>IF(VLOOKUP($C$3&amp;"-"&amp;$D70,Import!$C:$H,3,FALSE)=0,"",VLOOKUP($C$3&amp;"-"&amp;$D70,Import!$C:$H,3,FALSE))</f>
        <v/>
      </c>
      <c r="Q70" s="1024" t="str">
        <f>IF(VLOOKUP($C$3&amp;"-"&amp;$D70,Import!$C:$H,4,FALSE)=0,"",VLOOKUP($C$3&amp;"-"&amp;$D70,Import!$C:$H,4,FALSE))</f>
        <v/>
      </c>
      <c r="R70" s="1024" t="str">
        <f>IF(VLOOKUP($C$3&amp;"-"&amp;$D70,Import!$C:$H,5,FALSE)=0,"",VLOOKUP($C$3&amp;"-"&amp;$D70,Import!$C:$H,5,FALSE))</f>
        <v/>
      </c>
      <c r="S70" s="1025" t="str">
        <f>IF(VLOOKUP($C$3&amp;"-"&amp;$D70,Import!$C:$H,6,FALSE)=0,"",VLOOKUP($C$3&amp;"-"&amp;$D70,Import!$C:$H,6,FALSE))</f>
        <v/>
      </c>
      <c r="T70" s="157"/>
      <c r="U70" s="256"/>
    </row>
    <row r="71" spans="1:21" s="300" customFormat="1" ht="34.950000000000003" customHeight="1" x14ac:dyDescent="0.2">
      <c r="A71" s="309"/>
      <c r="B71" s="301"/>
      <c r="C71" s="1226">
        <v>3</v>
      </c>
      <c r="D71" s="406" t="s">
        <v>132</v>
      </c>
      <c r="E71" s="507" t="str">
        <f>IF(VLOOKUP(CONCATENATE($C$3,"-",$D71),Languages!$A:$D,1,TRUE)=CONCATENATE($C$3,"-",$D71),VLOOKUP(CONCATENATE($C$3,"-",$D71),Languages!$A:$D,Summary!$C$7,TRUE),NA())</f>
        <v>Kaikki sisäisesti kehitettävät ohjelmistot ja sovellukset kehitetään käyttäen turvallisen sovelluskehityksen periaatteita.</v>
      </c>
      <c r="F71" s="396">
        <f t="shared" si="3"/>
        <v>0</v>
      </c>
      <c r="G71" s="485"/>
      <c r="H71" s="482"/>
      <c r="I71" s="482"/>
      <c r="J71" s="482"/>
      <c r="K71" s="491"/>
      <c r="L71" s="157"/>
      <c r="M71" s="256"/>
      <c r="N71" s="152"/>
      <c r="O71" s="988" t="str">
        <f>VLOOKUP(VLOOKUP($C$3&amp;"-"&amp;$D71,Import!$C:$D,2,FALSE),Parameters!$C$18:$F$22,Summary!$C$7,FALSE)</f>
        <v xml:space="preserve">0 - Vastaus puuttuu </v>
      </c>
      <c r="P71" s="1022" t="str">
        <f>IF(VLOOKUP($C$3&amp;"-"&amp;$D71,Import!$C:$H,3,FALSE)=0,"",VLOOKUP($C$3&amp;"-"&amp;$D71,Import!$C:$H,3,FALSE))</f>
        <v/>
      </c>
      <c r="Q71" s="1022" t="str">
        <f>IF(VLOOKUP($C$3&amp;"-"&amp;$D71,Import!$C:$H,4,FALSE)=0,"",VLOOKUP($C$3&amp;"-"&amp;$D71,Import!$C:$H,4,FALSE))</f>
        <v/>
      </c>
      <c r="R71" s="1022" t="str">
        <f>IF(VLOOKUP($C$3&amp;"-"&amp;$D71,Import!$C:$H,5,FALSE)=0,"",VLOOKUP($C$3&amp;"-"&amp;$D71,Import!$C:$H,5,FALSE))</f>
        <v/>
      </c>
      <c r="S71" s="1023" t="str">
        <f>IF(VLOOKUP($C$3&amp;"-"&amp;$D71,Import!$C:$H,6,FALSE)=0,"",VLOOKUP($C$3&amp;"-"&amp;$D71,Import!$C:$H,6,FALSE))</f>
        <v/>
      </c>
      <c r="T71" s="157"/>
      <c r="U71" s="256"/>
    </row>
    <row r="72" spans="1:21" s="300" customFormat="1" ht="34.950000000000003" customHeight="1" x14ac:dyDescent="0.2">
      <c r="A72" s="309"/>
      <c r="B72" s="301"/>
      <c r="C72" s="1228"/>
      <c r="D72" s="298" t="s">
        <v>135</v>
      </c>
      <c r="E72" s="508" t="str">
        <f>IF(VLOOKUP(CONCATENATE($C$3,"-",$D72),Languages!$A:$D,1,TRUE)=CONCATENATE($C$3,"-",$D72),VLOOKUP(CONCATENATE($C$3,"-",$D72),Languages!$A:$D,Summary!$C$7,TRUE),NA())</f>
        <v>Kaikkien ohjelmisto- ja sovellushankintojen valinnassa huomioidaan noudattaako toimittaja turvallisen sovelluskehityksen periaatteita.</v>
      </c>
      <c r="F72" s="291">
        <f t="shared" si="3"/>
        <v>0</v>
      </c>
      <c r="G72" s="311"/>
      <c r="H72" s="483"/>
      <c r="I72" s="483"/>
      <c r="J72" s="483"/>
      <c r="K72" s="492"/>
      <c r="L72" s="157"/>
      <c r="M72" s="256"/>
      <c r="N72" s="152"/>
      <c r="O72" s="991" t="str">
        <f>VLOOKUP(VLOOKUP($C$3&amp;"-"&amp;$D72,Import!$C:$D,2,FALSE),Parameters!$C$18:$F$22,Summary!$C$7,FALSE)</f>
        <v xml:space="preserve">0 - Vastaus puuttuu </v>
      </c>
      <c r="P72" s="1017" t="str">
        <f>IF(VLOOKUP($C$3&amp;"-"&amp;$D72,Import!$C:$H,3,FALSE)=0,"",VLOOKUP($C$3&amp;"-"&amp;$D72,Import!$C:$H,3,FALSE))</f>
        <v/>
      </c>
      <c r="Q72" s="1017" t="str">
        <f>IF(VLOOKUP($C$3&amp;"-"&amp;$D72,Import!$C:$H,4,FALSE)=0,"",VLOOKUP($C$3&amp;"-"&amp;$D72,Import!$C:$H,4,FALSE))</f>
        <v/>
      </c>
      <c r="R72" s="1017" t="str">
        <f>IF(VLOOKUP($C$3&amp;"-"&amp;$D72,Import!$C:$H,5,FALSE)=0,"",VLOOKUP($C$3&amp;"-"&amp;$D72,Import!$C:$H,5,FALSE))</f>
        <v/>
      </c>
      <c r="S72" s="1018" t="str">
        <f>IF(VLOOKUP($C$3&amp;"-"&amp;$D72,Import!$C:$H,6,FALSE)=0,"",VLOOKUP($C$3&amp;"-"&amp;$D72,Import!$C:$H,6,FALSE))</f>
        <v/>
      </c>
      <c r="T72" s="157"/>
      <c r="U72" s="256"/>
    </row>
    <row r="73" spans="1:21" s="300" customFormat="1" ht="42.6" customHeight="1" x14ac:dyDescent="0.2">
      <c r="A73" s="309"/>
      <c r="B73" s="301"/>
      <c r="C73" s="1228"/>
      <c r="D73" s="298" t="s">
        <v>137</v>
      </c>
      <c r="E73" s="508" t="str">
        <f>IF(VLOOKUP(CONCATENATE($C$3,"-",$D73),Languages!$A:$D,1,TRUE)=CONCATENATE($C$3,"-",$D73),VLOOKUP(CONCATENATE($C$3,"-",$D73),Languages!$A:$D,Summary!$C$7,TRUE),NA())</f>
        <v>Arkkitehtuurikatselmointiprosessissa arvioidaan uusien ja päivitettyjen ohjelmistojen ja sovellusten turvallisuutta ennen niiden vientiä tuotantoon.</v>
      </c>
      <c r="F73" s="291">
        <f t="shared" si="3"/>
        <v>0</v>
      </c>
      <c r="G73" s="311"/>
      <c r="H73" s="483"/>
      <c r="I73" s="483"/>
      <c r="J73" s="483"/>
      <c r="K73" s="492"/>
      <c r="L73" s="157"/>
      <c r="M73" s="256"/>
      <c r="N73" s="152"/>
      <c r="O73" s="991" t="str">
        <f>VLOOKUP(VLOOKUP($C$3&amp;"-"&amp;$D73,Import!$C:$D,2,FALSE),Parameters!$C$18:$F$22,Summary!$C$7,FALSE)</f>
        <v xml:space="preserve">0 - Vastaus puuttuu </v>
      </c>
      <c r="P73" s="1017" t="str">
        <f>IF(VLOOKUP($C$3&amp;"-"&amp;$D73,Import!$C:$H,3,FALSE)=0,"",VLOOKUP($C$3&amp;"-"&amp;$D73,Import!$C:$H,3,FALSE))</f>
        <v/>
      </c>
      <c r="Q73" s="1017" t="str">
        <f>IF(VLOOKUP($C$3&amp;"-"&amp;$D73,Import!$C:$H,4,FALSE)=0,"",VLOOKUP($C$3&amp;"-"&amp;$D73,Import!$C:$H,4,FALSE))</f>
        <v/>
      </c>
      <c r="R73" s="1017" t="str">
        <f>IF(VLOOKUP($C$3&amp;"-"&amp;$D73,Import!$C:$H,5,FALSE)=0,"",VLOOKUP($C$3&amp;"-"&amp;$D73,Import!$C:$H,5,FALSE))</f>
        <v/>
      </c>
      <c r="S73" s="1018" t="str">
        <f>IF(VLOOKUP($C$3&amp;"-"&amp;$D73,Import!$C:$H,6,FALSE)=0,"",VLOOKUP($C$3&amp;"-"&amp;$D73,Import!$C:$H,6,FALSE))</f>
        <v/>
      </c>
      <c r="T73" s="157"/>
      <c r="U73" s="256"/>
    </row>
    <row r="74" spans="1:21" s="300" customFormat="1" ht="34.950000000000003" customHeight="1" x14ac:dyDescent="0.2">
      <c r="A74" s="309"/>
      <c r="B74" s="301"/>
      <c r="C74" s="1228"/>
      <c r="D74" s="298" t="s">
        <v>252</v>
      </c>
      <c r="E74" s="508" t="str">
        <f>IF(VLOOKUP(CONCATENATE($C$3,"-",$D74),Languages!$A:$D,1,TRUE)=CONCATENATE($C$3,"-",$D74),VLOOKUP(CONCATENATE($C$3,"-",$D74),Languages!$A:$D,Summary!$C$7,TRUE),NA())</f>
        <v>Ohjelmistojen ja laiteohjelmistojen (firmware) aitous varmistetaan ennen käyttöönottoa.</v>
      </c>
      <c r="F74" s="291">
        <f t="shared" si="3"/>
        <v>0</v>
      </c>
      <c r="G74" s="311"/>
      <c r="H74" s="483"/>
      <c r="I74" s="483"/>
      <c r="J74" s="483"/>
      <c r="K74" s="492"/>
      <c r="L74" s="157"/>
      <c r="M74" s="256"/>
      <c r="N74" s="152"/>
      <c r="O74" s="991" t="str">
        <f>VLOOKUP(VLOOKUP($C$3&amp;"-"&amp;$D74,Import!$C:$D,2,FALSE),Parameters!$C$18:$F$22,Summary!$C$7,FALSE)</f>
        <v xml:space="preserve">0 - Vastaus puuttuu </v>
      </c>
      <c r="P74" s="1017" t="str">
        <f>IF(VLOOKUP($C$3&amp;"-"&amp;$D74,Import!$C:$H,3,FALSE)=0,"",VLOOKUP($C$3&amp;"-"&amp;$D74,Import!$C:$H,3,FALSE))</f>
        <v/>
      </c>
      <c r="Q74" s="1017" t="str">
        <f>IF(VLOOKUP($C$3&amp;"-"&amp;$D74,Import!$C:$H,4,FALSE)=0,"",VLOOKUP($C$3&amp;"-"&amp;$D74,Import!$C:$H,4,FALSE))</f>
        <v/>
      </c>
      <c r="R74" s="1017" t="str">
        <f>IF(VLOOKUP($C$3&amp;"-"&amp;$D74,Import!$C:$H,5,FALSE)=0,"",VLOOKUP($C$3&amp;"-"&amp;$D74,Import!$C:$H,5,FALSE))</f>
        <v/>
      </c>
      <c r="S74" s="1018" t="str">
        <f>IF(VLOOKUP($C$3&amp;"-"&amp;$D74,Import!$C:$H,6,FALSE)=0,"",VLOOKUP($C$3&amp;"-"&amp;$D74,Import!$C:$H,6,FALSE))</f>
        <v/>
      </c>
      <c r="T74" s="157"/>
      <c r="U74" s="256"/>
    </row>
    <row r="75" spans="1:21" s="300" customFormat="1" ht="67.8" customHeight="1" x14ac:dyDescent="0.2">
      <c r="A75" s="309"/>
      <c r="B75" s="390"/>
      <c r="C75" s="1227"/>
      <c r="D75" s="407" t="s">
        <v>369</v>
      </c>
      <c r="E75" s="514" t="str">
        <f>IF(VLOOKUP(CONCATENATE($C$3,"-",$D75),Languages!$A:$D,1,TRUE)=CONCATENATE($C$3,"-",$D75),VLOOKUP(CONCATENATE($C$3,"-",$D75),Languages!$A:$D,Summary!$C$7,TRUE),NA())</f>
        <v>Sisäisesti kehitettyjen tai räätälöityjen ohjelmistojen ja sovellusten turvallisuus testataan (esimerkiksi staattinen tai dynaaminen testaus, fuzz-testaus tai penetraatiotestaus) aika ajoin ja määriteltyjen tilanteiden kuten järjestelmämuutosten tai ulkoisten tapahtumien yhteydessä.</v>
      </c>
      <c r="F75" s="403">
        <f t="shared" si="3"/>
        <v>0</v>
      </c>
      <c r="G75" s="489"/>
      <c r="H75" s="484"/>
      <c r="I75" s="484"/>
      <c r="J75" s="484"/>
      <c r="K75" s="493"/>
      <c r="L75" s="157"/>
      <c r="M75" s="256"/>
      <c r="N75" s="152"/>
      <c r="O75" s="996" t="str">
        <f>VLOOKUP(VLOOKUP($C$3&amp;"-"&amp;$D75,Import!$C:$D,2,FALSE),Parameters!$C$18:$F$22,Summary!$C$7,FALSE)</f>
        <v xml:space="preserve">0 - Vastaus puuttuu </v>
      </c>
      <c r="P75" s="1024" t="str">
        <f>IF(VLOOKUP($C$3&amp;"-"&amp;$D75,Import!$C:$H,3,FALSE)=0,"",VLOOKUP($C$3&amp;"-"&amp;$D75,Import!$C:$H,3,FALSE))</f>
        <v/>
      </c>
      <c r="Q75" s="1024" t="str">
        <f>IF(VLOOKUP($C$3&amp;"-"&amp;$D75,Import!$C:$H,4,FALSE)=0,"",VLOOKUP($C$3&amp;"-"&amp;$D75,Import!$C:$H,4,FALSE))</f>
        <v/>
      </c>
      <c r="R75" s="1024" t="str">
        <f>IF(VLOOKUP($C$3&amp;"-"&amp;$D75,Import!$C:$H,5,FALSE)=0,"",VLOOKUP($C$3&amp;"-"&amp;$D75,Import!$C:$H,5,FALSE))</f>
        <v/>
      </c>
      <c r="S75" s="1025" t="str">
        <f>IF(VLOOKUP($C$3&amp;"-"&amp;$D75,Import!$C:$H,6,FALSE)=0,"",VLOOKUP($C$3&amp;"-"&amp;$D75,Import!$C:$H,6,FALSE))</f>
        <v/>
      </c>
      <c r="T75" s="157"/>
      <c r="U75" s="256"/>
    </row>
    <row r="76" spans="1:21" s="180" customFormat="1" ht="30" customHeight="1" x14ac:dyDescent="0.25">
      <c r="A76" s="169"/>
      <c r="B76" s="273"/>
      <c r="C76" s="173">
        <v>5</v>
      </c>
      <c r="D76" s="173" t="str">
        <f>IF(VLOOKUP(CONCATENATE($C$3,"-",C76),Languages!$A:$D,1,TRUE)=CONCATENATE($C$3,"-",C76),VLOOKUP(CONCATENATE($C$3,"-",C76),Languages!$A:$D,Summary!$C$7,TRUE),NA())</f>
        <v>Tietojen suojaus osana kyberarkkitehtuuria</v>
      </c>
      <c r="E76" s="173"/>
      <c r="F76" s="296"/>
      <c r="G76" s="1006"/>
      <c r="H76" s="1030"/>
      <c r="I76" s="1030"/>
      <c r="J76" s="1030"/>
      <c r="K76" s="1030"/>
      <c r="L76" s="157"/>
      <c r="M76" s="256"/>
      <c r="N76" s="152"/>
      <c r="O76" s="296"/>
      <c r="P76" s="297"/>
      <c r="Q76" s="297"/>
      <c r="R76" s="297"/>
      <c r="S76" s="297"/>
      <c r="T76" s="157"/>
      <c r="U76" s="256"/>
    </row>
    <row r="77" spans="1:21" s="289" customFormat="1" ht="19.95" customHeight="1" x14ac:dyDescent="0.2">
      <c r="A77" s="308"/>
      <c r="B77" s="283"/>
      <c r="C77" s="284" t="str">
        <f>IF(VLOOKUP("GEN-LEVEL",Languages!$A:$D,1,TRUE)="GEN-LEVEL",VLOOKUP("GEN-LEVEL",Languages!$A:$D,Summary!$C$7,TRUE),NA())</f>
        <v>Taso</v>
      </c>
      <c r="D77" s="284"/>
      <c r="E77" s="285" t="str">
        <f>IF(VLOOKUP("GEN-PRACTICE",Languages!$A:$D,1,TRUE)="GEN-PRACTICE",VLOOKUP("GEN-PRACTICE",Languages!$A:$D,Summary!$C$7,TRUE),NA())</f>
        <v>Käytäntö</v>
      </c>
      <c r="F77" s="286"/>
      <c r="G77" s="1003" t="str">
        <f>IF(VLOOKUP("GEN-ANSWER",Languages!$A:$D,1,TRUE)="GEN-ANSWER",VLOOKUP("GEN-ANSWER",Languages!$A:$D,Summary!$C$7,TRUE),NA())</f>
        <v>Vastaus</v>
      </c>
      <c r="H77" s="1004" t="str">
        <f>IF(VLOOKUP("KM112",Languages!$A:$D,1,TRUE)="KM112",VLOOKUP("KM112",Languages!$A:$D,Summary!$C$7,TRUE),NA())</f>
        <v>Kommentit</v>
      </c>
      <c r="I77" s="1004" t="str">
        <f>IF(VLOOKUP("KM113",Languages!$A:$D,1,TRUE)="KM113",VLOOKUP("KM113",Languages!$A:$D,Summary!$C$7,TRUE),NA())</f>
        <v>Sisäinen viittaus</v>
      </c>
      <c r="J77" s="1004" t="str">
        <f>IF(VLOOKUP("KM114",Languages!$A:$D,1,TRUE)="KM114",VLOOKUP("KM114",Languages!$A:$D,Summary!$C$7,TRUE),NA())</f>
        <v>Ulkoinen viittaus</v>
      </c>
      <c r="K77" s="1004" t="str">
        <f>IF(VLOOKUP("KM115",Languages!$A:$D,1,TRUE)="KM115",VLOOKUP("KM115",Languages!$A:$D,Summary!$C$7,TRUE),NA())</f>
        <v>Kehityskohde</v>
      </c>
      <c r="L77" s="287"/>
      <c r="M77" s="288"/>
      <c r="N77" s="283"/>
      <c r="O77" s="503" t="str">
        <f>IF(VLOOKUP("GEN-ANSWER",Languages!$A:$D,1,TRUE)="GEN-ANSWER",VLOOKUP("GEN-ANSWER",Languages!$A:$D,Summary!$C$7,TRUE),NA())</f>
        <v>Vastaus</v>
      </c>
      <c r="P77" s="503" t="str">
        <f>IF(VLOOKUP("KM112",Languages!$A:$D,1,TRUE)="KM112",VLOOKUP("KM112",Languages!$A:$D,Summary!$C$7,TRUE),NA())</f>
        <v>Kommentit</v>
      </c>
      <c r="Q77" s="503" t="str">
        <f>IF(VLOOKUP("KM113",Languages!$A:$D,1,TRUE)="KM113",VLOOKUP("KM113",Languages!$A:$D,Summary!$C$7,TRUE),NA())</f>
        <v>Sisäinen viittaus</v>
      </c>
      <c r="R77" s="503" t="str">
        <f>IF(VLOOKUP("KM114",Languages!$A:$D,1,TRUE)="KM114",VLOOKUP("KM114",Languages!$A:$D,Summary!$C$7,TRUE),NA())</f>
        <v>Ulkoinen viittaus</v>
      </c>
      <c r="S77" s="503" t="str">
        <f>IF(VLOOKUP("KM115",Languages!$A:$D,1,TRUE)="KM115",VLOOKUP("KM115",Languages!$A:$D,Summary!$C$7,TRUE),NA())</f>
        <v>Kehityskohde</v>
      </c>
      <c r="T77" s="287"/>
      <c r="U77" s="288"/>
    </row>
    <row r="78" spans="1:21" s="300" customFormat="1" ht="34.950000000000003" customHeight="1" x14ac:dyDescent="0.2">
      <c r="A78" s="309"/>
      <c r="B78" s="390"/>
      <c r="C78" s="568">
        <v>1</v>
      </c>
      <c r="D78" s="410" t="s">
        <v>140</v>
      </c>
      <c r="E78" s="506" t="str">
        <f>IF(VLOOKUP(CONCATENATE($C$3,"-",$D78),Languages!$A:$D,1,TRUE)=CONCATENATE($C$3,"-",$D78),VLOOKUP(CONCATENATE($C$3,"-",$D78),Languages!$A:$D,Summary!$C$7,TRUE),NA())</f>
        <v>Tallennettua arkaluontoista tietoa ("data at rest") suojataan. Tasolla 1 tämän ei tarvitse olla systemaattista ja säännöllistä.</v>
      </c>
      <c r="F78" s="401">
        <f t="shared" ref="F78:F85" si="4">IFERROR(INT(LEFT($G78,1)),0)</f>
        <v>0</v>
      </c>
      <c r="G78" s="496"/>
      <c r="H78" s="494"/>
      <c r="I78" s="494"/>
      <c r="J78" s="494"/>
      <c r="K78" s="495"/>
      <c r="L78" s="157"/>
      <c r="M78" s="256"/>
      <c r="N78" s="152"/>
      <c r="O78" s="985" t="str">
        <f>VLOOKUP(VLOOKUP($C$3&amp;"-"&amp;$D78,Import!$C:$D,2,FALSE),Parameters!$C$18:$F$22,Summary!$C$7,FALSE)</f>
        <v xml:space="preserve">0 - Vastaus puuttuu </v>
      </c>
      <c r="P78" s="1026" t="str">
        <f>IF(VLOOKUP($C$3&amp;"-"&amp;$D78,Import!$C:$H,3,FALSE)=0,"",VLOOKUP($C$3&amp;"-"&amp;$D78,Import!$C:$H,3,FALSE))</f>
        <v/>
      </c>
      <c r="Q78" s="1026" t="str">
        <f>IF(VLOOKUP($C$3&amp;"-"&amp;$D78,Import!$C:$H,4,FALSE)=0,"",VLOOKUP($C$3&amp;"-"&amp;$D78,Import!$C:$H,4,FALSE))</f>
        <v/>
      </c>
      <c r="R78" s="1026" t="str">
        <f>IF(VLOOKUP($C$3&amp;"-"&amp;$D78,Import!$C:$H,5,FALSE)=0,"",VLOOKUP($C$3&amp;"-"&amp;$D78,Import!$C:$H,5,FALSE))</f>
        <v/>
      </c>
      <c r="S78" s="1027" t="str">
        <f>IF(VLOOKUP($C$3&amp;"-"&amp;$D78,Import!$C:$H,6,FALSE)=0,"",VLOOKUP($C$3&amp;"-"&amp;$D78,Import!$C:$H,6,FALSE))</f>
        <v/>
      </c>
      <c r="T78" s="157"/>
      <c r="U78" s="256"/>
    </row>
    <row r="79" spans="1:21" s="300" customFormat="1" ht="34.950000000000003" customHeight="1" x14ac:dyDescent="0.2">
      <c r="A79" s="309"/>
      <c r="B79" s="390"/>
      <c r="C79" s="1224">
        <v>2</v>
      </c>
      <c r="D79" s="406" t="s">
        <v>143</v>
      </c>
      <c r="E79" s="507" t="str">
        <f>IF(VLOOKUP(CONCATENATE($C$3,"-",$D79),Languages!$A:$D,1,TRUE)=CONCATENATE($C$3,"-",$D79),VLOOKUP(CONCATENATE($C$3,"-",$D79),Languages!$A:$D,Summary!$C$7,TRUE),NA())</f>
        <v>Kaikkea tallennettua tietoa ("data at rest") suojataan valittujen tietotyyppien osalta [kts. ASSET-2d].</v>
      </c>
      <c r="F79" s="396">
        <f t="shared" si="4"/>
        <v>0</v>
      </c>
      <c r="G79" s="485"/>
      <c r="H79" s="482"/>
      <c r="I79" s="482"/>
      <c r="J79" s="482"/>
      <c r="K79" s="491"/>
      <c r="L79" s="157"/>
      <c r="M79" s="256"/>
      <c r="N79" s="152"/>
      <c r="O79" s="988" t="str">
        <f>VLOOKUP(VLOOKUP($C$3&amp;"-"&amp;$D79,Import!$C:$D,2,FALSE),Parameters!$C$18:$F$22,Summary!$C$7,FALSE)</f>
        <v xml:space="preserve">0 - Vastaus puuttuu </v>
      </c>
      <c r="P79" s="1022" t="str">
        <f>IF(VLOOKUP($C$3&amp;"-"&amp;$D79,Import!$C:$H,3,FALSE)=0,"",VLOOKUP($C$3&amp;"-"&amp;$D79,Import!$C:$H,3,FALSE))</f>
        <v/>
      </c>
      <c r="Q79" s="1022" t="str">
        <f>IF(VLOOKUP($C$3&amp;"-"&amp;$D79,Import!$C:$H,4,FALSE)=0,"",VLOOKUP($C$3&amp;"-"&amp;$D79,Import!$C:$H,4,FALSE))</f>
        <v/>
      </c>
      <c r="R79" s="1022" t="str">
        <f>IF(VLOOKUP($C$3&amp;"-"&amp;$D79,Import!$C:$H,5,FALSE)=0,"",VLOOKUP($C$3&amp;"-"&amp;$D79,Import!$C:$H,5,FALSE))</f>
        <v/>
      </c>
      <c r="S79" s="1023" t="str">
        <f>IF(VLOOKUP($C$3&amp;"-"&amp;$D79,Import!$C:$H,6,FALSE)=0,"",VLOOKUP($C$3&amp;"-"&amp;$D79,Import!$C:$H,6,FALSE))</f>
        <v/>
      </c>
      <c r="T79" s="157"/>
      <c r="U79" s="256"/>
    </row>
    <row r="80" spans="1:21" s="300" customFormat="1" ht="34.950000000000003" customHeight="1" x14ac:dyDescent="0.2">
      <c r="A80" s="309"/>
      <c r="B80" s="390"/>
      <c r="C80" s="1237"/>
      <c r="D80" s="298" t="s">
        <v>146</v>
      </c>
      <c r="E80" s="508" t="str">
        <f>IF(VLOOKUP(CONCATENATE($C$3,"-",$D80),Languages!$A:$D,1,TRUE)=CONCATENATE($C$3,"-",$D80),VLOOKUP(CONCATENATE($C$3,"-",$D80),Languages!$A:$D,Summary!$C$7,TRUE),NA())</f>
        <v>Kaikkea siirrossa olevaa tietoa ("data in transit") suojataan valittujen tietotyyppien osalta [kts. ASSET-2d].</v>
      </c>
      <c r="F80" s="291">
        <f t="shared" si="4"/>
        <v>0</v>
      </c>
      <c r="G80" s="311"/>
      <c r="H80" s="483"/>
      <c r="I80" s="483"/>
      <c r="J80" s="483"/>
      <c r="K80" s="492"/>
      <c r="L80" s="157"/>
      <c r="M80" s="256"/>
      <c r="N80" s="152"/>
      <c r="O80" s="991" t="str">
        <f>VLOOKUP(VLOOKUP($C$3&amp;"-"&amp;$D80,Import!$C:$D,2,FALSE),Parameters!$C$18:$F$22,Summary!$C$7,FALSE)</f>
        <v xml:space="preserve">0 - Vastaus puuttuu </v>
      </c>
      <c r="P80" s="1017" t="str">
        <f>IF(VLOOKUP($C$3&amp;"-"&amp;$D80,Import!$C:$H,3,FALSE)=0,"",VLOOKUP($C$3&amp;"-"&amp;$D80,Import!$C:$H,3,FALSE))</f>
        <v/>
      </c>
      <c r="Q80" s="1017" t="str">
        <f>IF(VLOOKUP($C$3&amp;"-"&amp;$D80,Import!$C:$H,4,FALSE)=0,"",VLOOKUP($C$3&amp;"-"&amp;$D80,Import!$C:$H,4,FALSE))</f>
        <v/>
      </c>
      <c r="R80" s="1017" t="str">
        <f>IF(VLOOKUP($C$3&amp;"-"&amp;$D80,Import!$C:$H,5,FALSE)=0,"",VLOOKUP($C$3&amp;"-"&amp;$D80,Import!$C:$H,5,FALSE))</f>
        <v/>
      </c>
      <c r="S80" s="1018" t="str">
        <f>IF(VLOOKUP($C$3&amp;"-"&amp;$D80,Import!$C:$H,6,FALSE)=0,"",VLOOKUP($C$3&amp;"-"&amp;$D80,Import!$C:$H,6,FALSE))</f>
        <v/>
      </c>
      <c r="T80" s="157"/>
      <c r="U80" s="256"/>
    </row>
    <row r="81" spans="1:21" s="300" customFormat="1" ht="34.950000000000003" customHeight="1" x14ac:dyDescent="0.2">
      <c r="A81" s="309"/>
      <c r="B81" s="390"/>
      <c r="C81" s="1237"/>
      <c r="D81" s="298" t="s">
        <v>149</v>
      </c>
      <c r="E81" s="508" t="str">
        <f>IF(VLOOKUP(CONCATENATE($C$3,"-",$D81),Languages!$A:$D,1,TRUE)=CONCATENATE($C$3,"-",$D81),VLOOKUP(CONCATENATE($C$3,"-",$D81),Languages!$A:$D,Summary!$C$7,TRUE),NA())</f>
        <v>Salausmenetelmät ovat käytössä tallennetulle ja siirrossa olevalle tiedolle valittujen tietotyyppien osalta [kts. ASSET-2d].</v>
      </c>
      <c r="F81" s="291">
        <f t="shared" si="4"/>
        <v>0</v>
      </c>
      <c r="G81" s="311"/>
      <c r="H81" s="483"/>
      <c r="I81" s="483"/>
      <c r="J81" s="483"/>
      <c r="K81" s="492"/>
      <c r="L81" s="157"/>
      <c r="M81" s="256"/>
      <c r="N81" s="152"/>
      <c r="O81" s="991" t="str">
        <f>VLOOKUP(VLOOKUP($C$3&amp;"-"&amp;$D81,Import!$C:$D,2,FALSE),Parameters!$C$18:$F$22,Summary!$C$7,FALSE)</f>
        <v xml:space="preserve">0 - Vastaus puuttuu </v>
      </c>
      <c r="P81" s="1017" t="str">
        <f>IF(VLOOKUP($C$3&amp;"-"&amp;$D81,Import!$C:$H,3,FALSE)=0,"",VLOOKUP($C$3&amp;"-"&amp;$D81,Import!$C:$H,3,FALSE))</f>
        <v/>
      </c>
      <c r="Q81" s="1017" t="str">
        <f>IF(VLOOKUP($C$3&amp;"-"&amp;$D81,Import!$C:$H,4,FALSE)=0,"",VLOOKUP($C$3&amp;"-"&amp;$D81,Import!$C:$H,4,FALSE))</f>
        <v/>
      </c>
      <c r="R81" s="1017" t="str">
        <f>IF(VLOOKUP($C$3&amp;"-"&amp;$D81,Import!$C:$H,5,FALSE)=0,"",VLOOKUP($C$3&amp;"-"&amp;$D81,Import!$C:$H,5,FALSE))</f>
        <v/>
      </c>
      <c r="S81" s="1018" t="str">
        <f>IF(VLOOKUP($C$3&amp;"-"&amp;$D81,Import!$C:$H,6,FALSE)=0,"",VLOOKUP($C$3&amp;"-"&amp;$D81,Import!$C:$H,6,FALSE))</f>
        <v/>
      </c>
      <c r="T81" s="157"/>
      <c r="U81" s="256"/>
    </row>
    <row r="82" spans="1:21" s="300" customFormat="1" ht="45" customHeight="1" x14ac:dyDescent="0.2">
      <c r="A82" s="309"/>
      <c r="B82" s="390"/>
      <c r="C82" s="1237"/>
      <c r="D82" s="298" t="s">
        <v>151</v>
      </c>
      <c r="E82" s="508" t="str">
        <f>IF(VLOOKUP(CONCATENATE($C$3,"-",$D82),Languages!$A:$D,1,TRUE)=CONCATENATE($C$3,"-",$D82),VLOOKUP(CONCATENATE($C$3,"-",$D82),Languages!$A:$D,Summary!$C$7,TRUE),NA())</f>
        <v>Avaintenhallintainfrastruktuuri (eli avainten luonti, säilytys, tuhoaminen, päivittäminen ja kumoaminen) on käytössä salausmenetelmien tukemiseksi.</v>
      </c>
      <c r="F82" s="291">
        <f t="shared" si="4"/>
        <v>0</v>
      </c>
      <c r="G82" s="311"/>
      <c r="H82" s="483"/>
      <c r="I82" s="483"/>
      <c r="J82" s="483"/>
      <c r="K82" s="492"/>
      <c r="L82" s="157"/>
      <c r="M82" s="256"/>
      <c r="N82" s="152"/>
      <c r="O82" s="991" t="str">
        <f>VLOOKUP(VLOOKUP($C$3&amp;"-"&amp;$D82,Import!$C:$D,2,FALSE),Parameters!$C$18:$F$22,Summary!$C$7,FALSE)</f>
        <v xml:space="preserve">0 - Vastaus puuttuu </v>
      </c>
      <c r="P82" s="1017" t="str">
        <f>IF(VLOOKUP($C$3&amp;"-"&amp;$D82,Import!$C:$H,3,FALSE)=0,"",VLOOKUP($C$3&amp;"-"&amp;$D82,Import!$C:$H,3,FALSE))</f>
        <v/>
      </c>
      <c r="Q82" s="1017" t="str">
        <f>IF(VLOOKUP($C$3&amp;"-"&amp;$D82,Import!$C:$H,4,FALSE)=0,"",VLOOKUP($C$3&amp;"-"&amp;$D82,Import!$C:$H,4,FALSE))</f>
        <v/>
      </c>
      <c r="R82" s="1017" t="str">
        <f>IF(VLOOKUP($C$3&amp;"-"&amp;$D82,Import!$C:$H,5,FALSE)=0,"",VLOOKUP($C$3&amp;"-"&amp;$D82,Import!$C:$H,5,FALSE))</f>
        <v/>
      </c>
      <c r="S82" s="1018" t="str">
        <f>IF(VLOOKUP($C$3&amp;"-"&amp;$D82,Import!$C:$H,6,FALSE)=0,"",VLOOKUP($C$3&amp;"-"&amp;$D82,Import!$C:$H,6,FALSE))</f>
        <v/>
      </c>
      <c r="T82" s="157"/>
      <c r="U82" s="256"/>
    </row>
    <row r="83" spans="1:21" s="300" customFormat="1" ht="34.950000000000003" customHeight="1" x14ac:dyDescent="0.2">
      <c r="A83" s="309"/>
      <c r="B83" s="390"/>
      <c r="C83" s="1225"/>
      <c r="D83" s="407" t="s">
        <v>153</v>
      </c>
      <c r="E83" s="514" t="str">
        <f>IF(VLOOKUP(CONCATENATE($C$3,"-",$D83),Languages!$A:$D,1,TRUE)=CONCATENATE($C$3,"-",$D83),VLOOKUP(CONCATENATE($C$3,"-",$D83),Languages!$A:$D,Summary!$C$7,TRUE),NA())</f>
        <v>Käytössä on suojausmekanismeja rajoittamaan tiedon varastamisen mahdollisuutta (esimerkiksi tiedon hävittämistä estävät työkalut).</v>
      </c>
      <c r="F83" s="403">
        <f t="shared" si="4"/>
        <v>0</v>
      </c>
      <c r="G83" s="489"/>
      <c r="H83" s="484"/>
      <c r="I83" s="484"/>
      <c r="J83" s="484"/>
      <c r="K83" s="493"/>
      <c r="L83" s="157"/>
      <c r="M83" s="256"/>
      <c r="N83" s="152"/>
      <c r="O83" s="996" t="str">
        <f>VLOOKUP(VLOOKUP($C$3&amp;"-"&amp;$D83,Import!$C:$D,2,FALSE),Parameters!$C$18:$F$22,Summary!$C$7,FALSE)</f>
        <v xml:space="preserve">0 - Vastaus puuttuu </v>
      </c>
      <c r="P83" s="1024" t="str">
        <f>IF(VLOOKUP($C$3&amp;"-"&amp;$D83,Import!$C:$H,3,FALSE)=0,"",VLOOKUP($C$3&amp;"-"&amp;$D83,Import!$C:$H,3,FALSE))</f>
        <v/>
      </c>
      <c r="Q83" s="1024" t="str">
        <f>IF(VLOOKUP($C$3&amp;"-"&amp;$D83,Import!$C:$H,4,FALSE)=0,"",VLOOKUP($C$3&amp;"-"&amp;$D83,Import!$C:$H,4,FALSE))</f>
        <v/>
      </c>
      <c r="R83" s="1024" t="str">
        <f>IF(VLOOKUP($C$3&amp;"-"&amp;$D83,Import!$C:$H,5,FALSE)=0,"",VLOOKUP($C$3&amp;"-"&amp;$D83,Import!$C:$H,5,FALSE))</f>
        <v/>
      </c>
      <c r="S83" s="1025" t="str">
        <f>IF(VLOOKUP($C$3&amp;"-"&amp;$D83,Import!$C:$H,6,FALSE)=0,"",VLOOKUP($C$3&amp;"-"&amp;$D83,Import!$C:$H,6,FALSE))</f>
        <v/>
      </c>
      <c r="T83" s="157"/>
      <c r="U83" s="256"/>
    </row>
    <row r="84" spans="1:21" s="300" customFormat="1" ht="45" customHeight="1" x14ac:dyDescent="0.2">
      <c r="A84" s="309"/>
      <c r="B84" s="390"/>
      <c r="C84" s="1226">
        <v>3</v>
      </c>
      <c r="D84" s="406" t="s">
        <v>156</v>
      </c>
      <c r="E84" s="507" t="str">
        <f>IF(VLOOKUP(CONCATENATE($C$3,"-",$D84),Languages!$A:$D,1,TRUE)=CONCATENATE($C$3,"-",$D84),VLOOKUP(CONCATENATE($C$3,"-",$D84),Languages!$A:$D,Summary!$C$7,TRUE),NA())</f>
        <v>Kyberarkkitehtuuriin kuuluu suojausmekanismeja (esimerkiksi laitteiden kovalevyjen salaus) tiedolle, joka on tallennettu laitteille, jotka saatetaan hukata tai varastaa.</v>
      </c>
      <c r="F84" s="396">
        <f t="shared" si="4"/>
        <v>0</v>
      </c>
      <c r="G84" s="485"/>
      <c r="H84" s="482"/>
      <c r="I84" s="482"/>
      <c r="J84" s="482"/>
      <c r="K84" s="491"/>
      <c r="L84" s="157"/>
      <c r="M84" s="256"/>
      <c r="N84" s="152"/>
      <c r="O84" s="988" t="str">
        <f>VLOOKUP(VLOOKUP($C$3&amp;"-"&amp;$D84,Import!$C:$D,2,FALSE),Parameters!$C$18:$F$22,Summary!$C$7,FALSE)</f>
        <v xml:space="preserve">0 - Vastaus puuttuu </v>
      </c>
      <c r="P84" s="1022" t="str">
        <f>IF(VLOOKUP($C$3&amp;"-"&amp;$D84,Import!$C:$H,3,FALSE)=0,"",VLOOKUP($C$3&amp;"-"&amp;$D84,Import!$C:$H,3,FALSE))</f>
        <v/>
      </c>
      <c r="Q84" s="1022" t="str">
        <f>IF(VLOOKUP($C$3&amp;"-"&amp;$D84,Import!$C:$H,4,FALSE)=0,"",VLOOKUP($C$3&amp;"-"&amp;$D84,Import!$C:$H,4,FALSE))</f>
        <v/>
      </c>
      <c r="R84" s="1022" t="str">
        <f>IF(VLOOKUP($C$3&amp;"-"&amp;$D84,Import!$C:$H,5,FALSE)=0,"",VLOOKUP($C$3&amp;"-"&amp;$D84,Import!$C:$H,5,FALSE))</f>
        <v/>
      </c>
      <c r="S84" s="1023" t="str">
        <f>IF(VLOOKUP($C$3&amp;"-"&amp;$D84,Import!$C:$H,6,FALSE)=0,"",VLOOKUP($C$3&amp;"-"&amp;$D84,Import!$C:$H,6,FALSE))</f>
        <v/>
      </c>
      <c r="T84" s="157"/>
      <c r="U84" s="256"/>
    </row>
    <row r="85" spans="1:21" s="300" customFormat="1" ht="43.2" customHeight="1" x14ac:dyDescent="0.2">
      <c r="A85" s="309"/>
      <c r="B85" s="390"/>
      <c r="C85" s="1227"/>
      <c r="D85" s="407" t="s">
        <v>1113</v>
      </c>
      <c r="E85" s="514" t="str">
        <f>IF(VLOOKUP(CONCATENATE($C$3,"-",$D85),Languages!$A:$D,1,TRUE)=CONCATENATE($C$3,"-",$D85),VLOOKUP(CONCATENATE($C$3,"-",$D85),Languages!$A:$D,Summary!$C$7,TRUE),NA())</f>
        <v>Kyberarkkitehtuuri kattaa suojausmenetelmät sovellusten, laiteohjelmistojen (firmware) ja tiedon luvattomien muutosten varalle.</v>
      </c>
      <c r="F85" s="403">
        <f t="shared" si="4"/>
        <v>0</v>
      </c>
      <c r="G85" s="489"/>
      <c r="H85" s="484"/>
      <c r="I85" s="484"/>
      <c r="J85" s="484"/>
      <c r="K85" s="493"/>
      <c r="L85" s="157"/>
      <c r="M85" s="256"/>
      <c r="N85" s="152"/>
      <c r="O85" s="996" t="str">
        <f>VLOOKUP(VLOOKUP($C$3&amp;"-"&amp;$D85,Import!$C:$D,2,FALSE),Parameters!$C$18:$F$22,Summary!$C$7,FALSE)</f>
        <v xml:space="preserve">0 - Vastaus puuttuu </v>
      </c>
      <c r="P85" s="1024" t="str">
        <f>IF(VLOOKUP($C$3&amp;"-"&amp;$D85,Import!$C:$H,3,FALSE)=0,"",VLOOKUP($C$3&amp;"-"&amp;$D85,Import!$C:$H,3,FALSE))</f>
        <v/>
      </c>
      <c r="Q85" s="1024" t="str">
        <f>IF(VLOOKUP($C$3&amp;"-"&amp;$D85,Import!$C:$H,4,FALSE)=0,"",VLOOKUP($C$3&amp;"-"&amp;$D85,Import!$C:$H,4,FALSE))</f>
        <v/>
      </c>
      <c r="R85" s="1024" t="str">
        <f>IF(VLOOKUP($C$3&amp;"-"&amp;$D85,Import!$C:$H,5,FALSE)=0,"",VLOOKUP($C$3&amp;"-"&amp;$D85,Import!$C:$H,5,FALSE))</f>
        <v/>
      </c>
      <c r="S85" s="1025" t="str">
        <f>IF(VLOOKUP($C$3&amp;"-"&amp;$D85,Import!$C:$H,6,FALSE)=0,"",VLOOKUP($C$3&amp;"-"&amp;$D85,Import!$C:$H,6,FALSE))</f>
        <v/>
      </c>
      <c r="T85" s="157"/>
      <c r="U85" s="256"/>
    </row>
    <row r="86" spans="1:21" s="180" customFormat="1" ht="30" customHeight="1" x14ac:dyDescent="0.25">
      <c r="A86" s="169"/>
      <c r="B86" s="273"/>
      <c r="C86" s="173">
        <v>6</v>
      </c>
      <c r="D86" s="173" t="str">
        <f>IF(VLOOKUP(CONCATENATE($C$3,"-",C86),Languages!$A:$D,1,TRUE)=CONCATENATE($C$3,"-",C86),VLOOKUP(CONCATENATE($C$3,"-",C86),Languages!$A:$D,Summary!$C$7,TRUE),NA())</f>
        <v>Yleisiä hallintatoimia</v>
      </c>
      <c r="E86" s="173"/>
      <c r="F86" s="296"/>
      <c r="G86" s="1006"/>
      <c r="H86" s="1030"/>
      <c r="I86" s="1030"/>
      <c r="J86" s="1030"/>
      <c r="K86" s="1030"/>
      <c r="L86" s="157"/>
      <c r="M86" s="256"/>
      <c r="N86" s="152"/>
      <c r="O86" s="296"/>
      <c r="P86" s="297"/>
      <c r="Q86" s="297"/>
      <c r="R86" s="297"/>
      <c r="S86" s="297"/>
      <c r="T86" s="157"/>
      <c r="U86" s="256"/>
    </row>
    <row r="87" spans="1:21" s="289" customFormat="1" ht="19.95" customHeight="1" x14ac:dyDescent="0.2">
      <c r="A87" s="308"/>
      <c r="B87" s="283"/>
      <c r="C87" s="284" t="str">
        <f>IF(VLOOKUP("GEN-LEVEL",Languages!$A:$D,1,TRUE)="GEN-LEVEL",VLOOKUP("GEN-LEVEL",Languages!$A:$D,Summary!$C$7,TRUE),NA())</f>
        <v>Taso</v>
      </c>
      <c r="D87" s="284"/>
      <c r="E87" s="285" t="str">
        <f>IF(VLOOKUP("GEN-PRACTICE",Languages!$A:$D,1,TRUE)="GEN-PRACTICE",VLOOKUP("GEN-PRACTICE",Languages!$A:$D,Summary!$C$7,TRUE),NA())</f>
        <v>Käytäntö</v>
      </c>
      <c r="F87" s="286"/>
      <c r="G87" s="1003" t="str">
        <f>IF(VLOOKUP("GEN-ANSWER",Languages!$A:$D,1,TRUE)="GEN-ANSWER",VLOOKUP("GEN-ANSWER",Languages!$A:$D,Summary!$C$7,TRUE),NA())</f>
        <v>Vastaus</v>
      </c>
      <c r="H87" s="1004" t="str">
        <f>IF(VLOOKUP("KM112",Languages!$A:$D,1,TRUE)="KM112",VLOOKUP("KM112",Languages!$A:$D,Summary!$C$7,TRUE),NA())</f>
        <v>Kommentit</v>
      </c>
      <c r="I87" s="1004" t="str">
        <f>IF(VLOOKUP("KM113",Languages!$A:$D,1,TRUE)="KM113",VLOOKUP("KM113",Languages!$A:$D,Summary!$C$7,TRUE),NA())</f>
        <v>Sisäinen viittaus</v>
      </c>
      <c r="J87" s="1004" t="str">
        <f>IF(VLOOKUP("KM114",Languages!$A:$D,1,TRUE)="KM114",VLOOKUP("KM114",Languages!$A:$D,Summary!$C$7,TRUE),NA())</f>
        <v>Ulkoinen viittaus</v>
      </c>
      <c r="K87" s="1004" t="str">
        <f>IF(VLOOKUP("KM115",Languages!$A:$D,1,TRUE)="KM115",VLOOKUP("KM115",Languages!$A:$D,Summary!$C$7,TRUE),NA())</f>
        <v>Kehityskohde</v>
      </c>
      <c r="L87" s="287"/>
      <c r="M87" s="288"/>
      <c r="N87" s="283"/>
      <c r="O87" s="503" t="str">
        <f>IF(VLOOKUP("GEN-ANSWER",Languages!$A:$D,1,TRUE)="GEN-ANSWER",VLOOKUP("GEN-ANSWER",Languages!$A:$D,Summary!$C$7,TRUE),NA())</f>
        <v>Vastaus</v>
      </c>
      <c r="P87" s="503" t="str">
        <f>IF(VLOOKUP("KM112",Languages!$A:$D,1,TRUE)="KM112",VLOOKUP("KM112",Languages!$A:$D,Summary!$C$7,TRUE),NA())</f>
        <v>Kommentit</v>
      </c>
      <c r="Q87" s="503" t="str">
        <f>IF(VLOOKUP("KM113",Languages!$A:$D,1,TRUE)="KM113",VLOOKUP("KM113",Languages!$A:$D,Summary!$C$7,TRUE),NA())</f>
        <v>Sisäinen viittaus</v>
      </c>
      <c r="R87" s="503" t="str">
        <f>IF(VLOOKUP("KM114",Languages!$A:$D,1,TRUE)="KM114",VLOOKUP("KM114",Languages!$A:$D,Summary!$C$7,TRUE),NA())</f>
        <v>Ulkoinen viittaus</v>
      </c>
      <c r="S87" s="503" t="str">
        <f>IF(VLOOKUP("KM115",Languages!$A:$D,1,TRUE)="KM115",VLOOKUP("KM115",Languages!$A:$D,Summary!$C$7,TRUE),NA())</f>
        <v>Kehityskohde</v>
      </c>
      <c r="T87" s="287"/>
      <c r="U87" s="288"/>
    </row>
    <row r="88" spans="1:21" s="315" customFormat="1" ht="19.95" customHeight="1" x14ac:dyDescent="0.2">
      <c r="A88" s="288"/>
      <c r="B88" s="283"/>
      <c r="C88" s="497">
        <v>1</v>
      </c>
      <c r="D88" s="412"/>
      <c r="E88" s="413"/>
      <c r="F88" s="415"/>
      <c r="G88" s="1007"/>
      <c r="H88" s="1008"/>
      <c r="I88" s="1008"/>
      <c r="J88" s="1008"/>
      <c r="K88" s="1009"/>
      <c r="L88" s="157"/>
      <c r="M88" s="256"/>
      <c r="N88" s="152"/>
      <c r="O88" s="562"/>
      <c r="P88" s="414"/>
      <c r="Q88" s="414"/>
      <c r="R88" s="414"/>
      <c r="S88" s="416"/>
      <c r="T88" s="157"/>
      <c r="U88" s="256"/>
    </row>
    <row r="89" spans="1:21" s="300" customFormat="1" ht="34.950000000000003" customHeight="1" x14ac:dyDescent="0.2">
      <c r="A89" s="309"/>
      <c r="B89" s="1213"/>
      <c r="C89" s="1224">
        <v>2</v>
      </c>
      <c r="D89" s="406" t="s">
        <v>1115</v>
      </c>
      <c r="E89" s="507" t="str">
        <f>IF(VLOOKUP(CONCATENATE($C$3,"-",$D89),Languages!$A:$D,1,TRUE)=CONCATENATE($C$3,"-",$D89),VLOOKUP(CONCATENATE($C$3,"-",$D89),Languages!$A:$D,Summary!$C$7,TRUE),NA())</f>
        <v>ARCHITECTURE-osion toimintaa varten on määritetty dokumentoidut toimintatavat, joita noudatetaan ja päivitetään säännöllisesti.</v>
      </c>
      <c r="F89" s="396">
        <f t="shared" ref="F89:F94" si="5">IFERROR(INT(LEFT($G89,1)),0)</f>
        <v>0</v>
      </c>
      <c r="G89" s="485"/>
      <c r="H89" s="482"/>
      <c r="I89" s="482"/>
      <c r="J89" s="482"/>
      <c r="K89" s="491"/>
      <c r="L89" s="157"/>
      <c r="M89" s="256"/>
      <c r="N89" s="152"/>
      <c r="O89" s="988" t="str">
        <f>VLOOKUP(VLOOKUP($C$3&amp;"-"&amp;$D89,Import!$C:$D,2,FALSE),Parameters!$C$18:$F$22,Summary!$C$7,FALSE)</f>
        <v xml:space="preserve">0 - Vastaus puuttuu </v>
      </c>
      <c r="P89" s="1022" t="str">
        <f>IF(VLOOKUP($C$3&amp;"-"&amp;$D89,Import!$C:$H,3,FALSE)=0,"",VLOOKUP($C$3&amp;"-"&amp;$D89,Import!$C:$H,3,FALSE))</f>
        <v/>
      </c>
      <c r="Q89" s="1022" t="str">
        <f>IF(VLOOKUP($C$3&amp;"-"&amp;$D89,Import!$C:$H,4,FALSE)=0,"",VLOOKUP($C$3&amp;"-"&amp;$D89,Import!$C:$H,4,FALSE))</f>
        <v/>
      </c>
      <c r="R89" s="1022" t="str">
        <f>IF(VLOOKUP($C$3&amp;"-"&amp;$D89,Import!$C:$H,5,FALSE)=0,"",VLOOKUP($C$3&amp;"-"&amp;$D89,Import!$C:$H,5,FALSE))</f>
        <v/>
      </c>
      <c r="S89" s="1023" t="str">
        <f>IF(VLOOKUP($C$3&amp;"-"&amp;$D89,Import!$C:$H,6,FALSE)=0,"",VLOOKUP($C$3&amp;"-"&amp;$D89,Import!$C:$H,6,FALSE))</f>
        <v/>
      </c>
      <c r="T89" s="157"/>
      <c r="U89" s="256"/>
    </row>
    <row r="90" spans="1:21" s="300" customFormat="1" ht="34.950000000000003" customHeight="1" x14ac:dyDescent="0.2">
      <c r="A90" s="309"/>
      <c r="B90" s="1213"/>
      <c r="C90" s="1225"/>
      <c r="D90" s="407" t="s">
        <v>1116</v>
      </c>
      <c r="E90" s="514" t="str">
        <f>IF(VLOOKUP(CONCATENATE($C$3,"-",$D90),Languages!$A:$D,1,TRUE)=CONCATENATE($C$3,"-",$D90),VLOOKUP(CONCATENATE($C$3,"-",$D90),Languages!$A:$D,Summary!$C$7,TRUE),NA())</f>
        <v>ARCHITECTURE-osion toimintaa varten on tarjolla riittävät resurssit (henkilöstö, rahoitus ja työkalut).</v>
      </c>
      <c r="F90" s="403">
        <f t="shared" si="5"/>
        <v>0</v>
      </c>
      <c r="G90" s="489"/>
      <c r="H90" s="484"/>
      <c r="I90" s="484"/>
      <c r="J90" s="484"/>
      <c r="K90" s="493"/>
      <c r="L90" s="157"/>
      <c r="M90" s="256"/>
      <c r="N90" s="152"/>
      <c r="O90" s="996" t="str">
        <f>VLOOKUP(VLOOKUP($C$3&amp;"-"&amp;$D90,Import!$C:$D,2,FALSE),Parameters!$C$18:$F$22,Summary!$C$7,FALSE)</f>
        <v xml:space="preserve">0 - Vastaus puuttuu </v>
      </c>
      <c r="P90" s="1024" t="str">
        <f>IF(VLOOKUP($C$3&amp;"-"&amp;$D90,Import!$C:$H,3,FALSE)=0,"",VLOOKUP($C$3&amp;"-"&amp;$D90,Import!$C:$H,3,FALSE))</f>
        <v/>
      </c>
      <c r="Q90" s="1024" t="str">
        <f>IF(VLOOKUP($C$3&amp;"-"&amp;$D90,Import!$C:$H,4,FALSE)=0,"",VLOOKUP($C$3&amp;"-"&amp;$D90,Import!$C:$H,4,FALSE))</f>
        <v/>
      </c>
      <c r="R90" s="1024" t="str">
        <f>IF(VLOOKUP($C$3&amp;"-"&amp;$D90,Import!$C:$H,5,FALSE)=0,"",VLOOKUP($C$3&amp;"-"&amp;$D90,Import!$C:$H,5,FALSE))</f>
        <v/>
      </c>
      <c r="S90" s="1025" t="str">
        <f>IF(VLOOKUP($C$3&amp;"-"&amp;$D90,Import!$C:$H,6,FALSE)=0,"",VLOOKUP($C$3&amp;"-"&amp;$D90,Import!$C:$H,6,FALSE))</f>
        <v/>
      </c>
      <c r="T90" s="157"/>
      <c r="U90" s="256"/>
    </row>
    <row r="91" spans="1:21" s="300" customFormat="1" ht="45" customHeight="1" x14ac:dyDescent="0.2">
      <c r="A91" s="309"/>
      <c r="B91" s="1213"/>
      <c r="C91" s="1254">
        <v>3</v>
      </c>
      <c r="D91" s="406" t="s">
        <v>1117</v>
      </c>
      <c r="E91" s="507" t="str">
        <f>IF(VLOOKUP(CONCATENATE($C$3,"-",$D91),Languages!$A:$D,1,TRUE)=CONCATENATE($C$3,"-",$D91),VLOOKUP(CONCATENATE($C$3,"-",$D91),Languages!$A:$D,Summary!$C$7,TRUE),NA())</f>
        <v>ARCHITECTURE-osion toimintaa ohjataan vaatimuksilla, jotka on asetettu organisaation johtotason politiikassa (tai vastaavassa ohjeistuksessa).</v>
      </c>
      <c r="F91" s="396">
        <f t="shared" si="5"/>
        <v>0</v>
      </c>
      <c r="G91" s="485"/>
      <c r="H91" s="482"/>
      <c r="I91" s="482"/>
      <c r="J91" s="482"/>
      <c r="K91" s="491"/>
      <c r="L91" s="157"/>
      <c r="M91" s="256"/>
      <c r="N91" s="152"/>
      <c r="O91" s="988" t="str">
        <f>VLOOKUP(VLOOKUP($C$3&amp;"-"&amp;$D91,Import!$C:$D,2,FALSE),Parameters!$C$18:$F$22,Summary!$C$7,FALSE)</f>
        <v xml:space="preserve">0 - Vastaus puuttuu </v>
      </c>
      <c r="P91" s="1022" t="str">
        <f>IF(VLOOKUP($C$3&amp;"-"&amp;$D91,Import!$C:$H,3,FALSE)=0,"",VLOOKUP($C$3&amp;"-"&amp;$D91,Import!$C:$H,3,FALSE))</f>
        <v/>
      </c>
      <c r="Q91" s="1022" t="str">
        <f>IF(VLOOKUP($C$3&amp;"-"&amp;$D91,Import!$C:$H,4,FALSE)=0,"",VLOOKUP($C$3&amp;"-"&amp;$D91,Import!$C:$H,4,FALSE))</f>
        <v/>
      </c>
      <c r="R91" s="1022" t="str">
        <f>IF(VLOOKUP($C$3&amp;"-"&amp;$D91,Import!$C:$H,5,FALSE)=0,"",VLOOKUP($C$3&amp;"-"&amp;$D91,Import!$C:$H,5,FALSE))</f>
        <v/>
      </c>
      <c r="S91" s="1023" t="str">
        <f>IF(VLOOKUP($C$3&amp;"-"&amp;$D91,Import!$C:$H,6,FALSE)=0,"",VLOOKUP($C$3&amp;"-"&amp;$D91,Import!$C:$H,6,FALSE))</f>
        <v/>
      </c>
      <c r="T91" s="157"/>
      <c r="U91" s="256"/>
    </row>
    <row r="92" spans="1:21" s="300" customFormat="1" ht="34.950000000000003" customHeight="1" x14ac:dyDescent="0.2">
      <c r="A92" s="309"/>
      <c r="B92" s="1213"/>
      <c r="C92" s="1255"/>
      <c r="D92" s="298" t="s">
        <v>1118</v>
      </c>
      <c r="E92" s="508" t="str">
        <f>IF(VLOOKUP(CONCATENATE($C$3,"-",$D92),Languages!$A:$D,1,TRUE)=CONCATENATE($C$3,"-",$D92),VLOOKUP(CONCATENATE($C$3,"-",$D92),Languages!$A:$D,Summary!$C$7,TRUE),NA())</f>
        <v>ARCHITECTURE-osion toimintaa suorittavilla työntekijöillä on riittävät tiedot ja taidot tehtäviensä suorittamiseen.</v>
      </c>
      <c r="F92" s="291">
        <f t="shared" si="5"/>
        <v>0</v>
      </c>
      <c r="G92" s="311"/>
      <c r="H92" s="483"/>
      <c r="I92" s="483"/>
      <c r="J92" s="483"/>
      <c r="K92" s="492"/>
      <c r="L92" s="157"/>
      <c r="M92" s="256"/>
      <c r="N92" s="152"/>
      <c r="O92" s="991" t="str">
        <f>VLOOKUP(VLOOKUP($C$3&amp;"-"&amp;$D92,Import!$C:$D,2,FALSE),Parameters!$C$18:$F$22,Summary!$C$7,FALSE)</f>
        <v xml:space="preserve">0 - Vastaus puuttuu </v>
      </c>
      <c r="P92" s="1017" t="str">
        <f>IF(VLOOKUP($C$3&amp;"-"&amp;$D92,Import!$C:$H,3,FALSE)=0,"",VLOOKUP($C$3&amp;"-"&amp;$D92,Import!$C:$H,3,FALSE))</f>
        <v/>
      </c>
      <c r="Q92" s="1017" t="str">
        <f>IF(VLOOKUP($C$3&amp;"-"&amp;$D92,Import!$C:$H,4,FALSE)=0,"",VLOOKUP($C$3&amp;"-"&amp;$D92,Import!$C:$H,4,FALSE))</f>
        <v/>
      </c>
      <c r="R92" s="1017" t="str">
        <f>IF(VLOOKUP($C$3&amp;"-"&amp;$D92,Import!$C:$H,5,FALSE)=0,"",VLOOKUP($C$3&amp;"-"&amp;$D92,Import!$C:$H,5,FALSE))</f>
        <v/>
      </c>
      <c r="S92" s="1018" t="str">
        <f>IF(VLOOKUP($C$3&amp;"-"&amp;$D92,Import!$C:$H,6,FALSE)=0,"",VLOOKUP($C$3&amp;"-"&amp;$D92,Import!$C:$H,6,FALSE))</f>
        <v/>
      </c>
      <c r="T92" s="157"/>
      <c r="U92" s="256"/>
    </row>
    <row r="93" spans="1:21" s="300" customFormat="1" ht="45" customHeight="1" x14ac:dyDescent="0.2">
      <c r="A93" s="309"/>
      <c r="B93" s="1213"/>
      <c r="C93" s="1255"/>
      <c r="D93" s="298" t="s">
        <v>1119</v>
      </c>
      <c r="E93" s="508" t="str">
        <f>IF(VLOOKUP(CONCATENATE($C$3,"-",$D93),Languages!$A:$D,1,TRUE)=CONCATENATE($C$3,"-",$D93),VLOOKUP(CONCATENATE($C$3,"-",$D93),Languages!$A:$D,Summary!$C$7,TRUE),NA())</f>
        <v>ARCHITECTURE-osion toiminnan suorittamiseen tarvittavat vastuut, tilivelvollisuudet ja valtuutukset on jalkautettu soveltuville työntekijöille.</v>
      </c>
      <c r="F93" s="291">
        <f t="shared" si="5"/>
        <v>0</v>
      </c>
      <c r="G93" s="311"/>
      <c r="H93" s="483"/>
      <c r="I93" s="483"/>
      <c r="J93" s="483"/>
      <c r="K93" s="492"/>
      <c r="L93" s="157"/>
      <c r="M93" s="256"/>
      <c r="N93" s="152"/>
      <c r="O93" s="991" t="str">
        <f>VLOOKUP(VLOOKUP($C$3&amp;"-"&amp;$D93,Import!$C:$D,2,FALSE),Parameters!$C$18:$F$22,Summary!$C$7,FALSE)</f>
        <v xml:space="preserve">0 - Vastaus puuttuu </v>
      </c>
      <c r="P93" s="1017" t="str">
        <f>IF(VLOOKUP($C$3&amp;"-"&amp;$D93,Import!$C:$H,3,FALSE)=0,"",VLOOKUP($C$3&amp;"-"&amp;$D93,Import!$C:$H,3,FALSE))</f>
        <v/>
      </c>
      <c r="Q93" s="1017" t="str">
        <f>IF(VLOOKUP($C$3&amp;"-"&amp;$D93,Import!$C:$H,4,FALSE)=0,"",VLOOKUP($C$3&amp;"-"&amp;$D93,Import!$C:$H,4,FALSE))</f>
        <v/>
      </c>
      <c r="R93" s="1017" t="str">
        <f>IF(VLOOKUP($C$3&amp;"-"&amp;$D93,Import!$C:$H,5,FALSE)=0,"",VLOOKUP($C$3&amp;"-"&amp;$D93,Import!$C:$H,5,FALSE))</f>
        <v/>
      </c>
      <c r="S93" s="1018" t="str">
        <f>IF(VLOOKUP($C$3&amp;"-"&amp;$D93,Import!$C:$H,6,FALSE)=0,"",VLOOKUP($C$3&amp;"-"&amp;$D93,Import!$C:$H,6,FALSE))</f>
        <v/>
      </c>
      <c r="T93" s="157"/>
      <c r="U93" s="256"/>
    </row>
    <row r="94" spans="1:21" s="300" customFormat="1" ht="34.950000000000003" customHeight="1" x14ac:dyDescent="0.2">
      <c r="A94" s="309"/>
      <c r="B94" s="1213"/>
      <c r="C94" s="1256"/>
      <c r="D94" s="407" t="s">
        <v>1120</v>
      </c>
      <c r="E94" s="514" t="str">
        <f>IF(VLOOKUP(CONCATENATE($C$3,"-",$D94),Languages!$A:$D,1,TRUE)=CONCATENATE($C$3,"-",$D94),VLOOKUP(CONCATENATE($C$3,"-",$D94),Languages!$A:$D,Summary!$C$7,TRUE),NA())</f>
        <v>ARCHITECTURE-osion toiminnan vaikuttavuutta arvioidaan ja seurataan.</v>
      </c>
      <c r="F94" s="403">
        <f t="shared" si="5"/>
        <v>0</v>
      </c>
      <c r="G94" s="489"/>
      <c r="H94" s="484"/>
      <c r="I94" s="484"/>
      <c r="J94" s="484"/>
      <c r="K94" s="493"/>
      <c r="L94" s="157"/>
      <c r="M94" s="256"/>
      <c r="N94" s="152"/>
      <c r="O94" s="996" t="str">
        <f>VLOOKUP(VLOOKUP($C$3&amp;"-"&amp;$D94,Import!$C:$D,2,FALSE),Parameters!$C$18:$F$22,Summary!$C$7,FALSE)</f>
        <v xml:space="preserve">0 - Vastaus puuttuu </v>
      </c>
      <c r="P94" s="1024" t="str">
        <f>IF(VLOOKUP($C$3&amp;"-"&amp;$D94,Import!$C:$H,3,FALSE)=0,"",VLOOKUP($C$3&amp;"-"&amp;$D94,Import!$C:$H,3,FALSE))</f>
        <v/>
      </c>
      <c r="Q94" s="1024" t="str">
        <f>IF(VLOOKUP($C$3&amp;"-"&amp;$D94,Import!$C:$H,4,FALSE)=0,"",VLOOKUP($C$3&amp;"-"&amp;$D94,Import!$C:$H,4,FALSE))</f>
        <v/>
      </c>
      <c r="R94" s="1024" t="str">
        <f>IF(VLOOKUP($C$3&amp;"-"&amp;$D94,Import!$C:$H,5,FALSE)=0,"",VLOOKUP($C$3&amp;"-"&amp;$D94,Import!$C:$H,5,FALSE))</f>
        <v/>
      </c>
      <c r="S94" s="1025" t="str">
        <f>IF(VLOOKUP($C$3&amp;"-"&amp;$D94,Import!$C:$H,6,FALSE)=0,"",VLOOKUP($C$3&amp;"-"&amp;$D94,Import!$C:$H,6,FALSE))</f>
        <v/>
      </c>
      <c r="T94" s="157"/>
      <c r="U94" s="256"/>
    </row>
    <row r="95" spans="1:21" x14ac:dyDescent="0.2">
      <c r="A95" s="184"/>
      <c r="B95" s="333"/>
      <c r="C95" s="334"/>
      <c r="D95" s="335"/>
      <c r="E95" s="336"/>
      <c r="F95" s="337"/>
      <c r="G95" s="338"/>
      <c r="H95" s="339"/>
      <c r="I95" s="339"/>
      <c r="J95" s="339"/>
      <c r="K95" s="339"/>
      <c r="L95" s="157"/>
      <c r="M95" s="256"/>
      <c r="N95" s="152"/>
      <c r="O95" s="338"/>
      <c r="P95" s="339"/>
      <c r="Q95" s="339"/>
      <c r="R95" s="339"/>
      <c r="S95" s="339"/>
      <c r="T95" s="157"/>
      <c r="U95" s="256"/>
    </row>
    <row r="96" spans="1:21" x14ac:dyDescent="0.25">
      <c r="A96" s="184"/>
      <c r="B96" s="184"/>
      <c r="C96" s="184"/>
      <c r="D96" s="184"/>
      <c r="E96" s="184"/>
      <c r="F96" s="340"/>
      <c r="G96" s="184"/>
      <c r="H96" s="184"/>
      <c r="I96" s="184"/>
      <c r="J96" s="184"/>
      <c r="K96" s="184"/>
      <c r="L96" s="516"/>
      <c r="M96" s="347"/>
      <c r="N96" s="516"/>
      <c r="O96" s="184"/>
      <c r="P96" s="184"/>
      <c r="Q96" s="184"/>
      <c r="R96" s="184"/>
      <c r="S96" s="184"/>
      <c r="T96" s="516"/>
      <c r="U96" s="347"/>
    </row>
  </sheetData>
  <sheetProtection sheet="1" formatCells="0" formatColumns="0" formatRows="0"/>
  <mergeCells count="25">
    <mergeCell ref="B93:B94"/>
    <mergeCell ref="B89:B92"/>
    <mergeCell ref="B41:B42"/>
    <mergeCell ref="C14:K14"/>
    <mergeCell ref="C89:C90"/>
    <mergeCell ref="C91:C94"/>
    <mergeCell ref="C84:C85"/>
    <mergeCell ref="C30:C34"/>
    <mergeCell ref="C42:C46"/>
    <mergeCell ref="C56:C62"/>
    <mergeCell ref="C79:C83"/>
    <mergeCell ref="C63:C64"/>
    <mergeCell ref="O3:S24"/>
    <mergeCell ref="C47:C52"/>
    <mergeCell ref="C35:C38"/>
    <mergeCell ref="C71:C75"/>
    <mergeCell ref="C68:C70"/>
    <mergeCell ref="C16:K16"/>
    <mergeCell ref="C18:K18"/>
    <mergeCell ref="C20:K20"/>
    <mergeCell ref="C22:K22"/>
    <mergeCell ref="C24:K24"/>
    <mergeCell ref="C6:K6"/>
    <mergeCell ref="I8:J8"/>
    <mergeCell ref="I10:J11"/>
  </mergeCells>
  <conditionalFormatting sqref="F13 F39 F53 F56:F59 F65 F86 F29:F37 F88:F1048576 F67:F74 F41:F43">
    <cfRule type="containsText" dxfId="147" priority="53" operator="containsText" text="0">
      <formula>NOT(ISERROR(SEARCH("0",F13)))</formula>
    </cfRule>
  </conditionalFormatting>
  <conditionalFormatting sqref="F88">
    <cfRule type="containsText" dxfId="146" priority="51" operator="containsText" text="0">
      <formula>NOT(ISERROR(SEARCH("0",F88)))</formula>
    </cfRule>
  </conditionalFormatting>
  <conditionalFormatting sqref="F4:F5 F7:F11">
    <cfRule type="containsText" dxfId="145" priority="49" operator="containsText" text="0">
      <formula>NOT(ISERROR(SEARCH("0",F4)))</formula>
    </cfRule>
  </conditionalFormatting>
  <conditionalFormatting sqref="F12">
    <cfRule type="containsText" dxfId="144" priority="45" operator="containsText" text="0">
      <formula>NOT(ISERROR(SEARCH("0",F12)))</formula>
    </cfRule>
  </conditionalFormatting>
  <conditionalFormatting sqref="F76 F78:F85">
    <cfRule type="containsText" dxfId="143" priority="44" operator="containsText" text="0">
      <formula>NOT(ISERROR(SEARCH("0",F76)))</formula>
    </cfRule>
  </conditionalFormatting>
  <conditionalFormatting sqref="F38">
    <cfRule type="containsText" dxfId="142" priority="42" operator="containsText" text="0">
      <formula>NOT(ISERROR(SEARCH("0",F38)))</formula>
    </cfRule>
  </conditionalFormatting>
  <conditionalFormatting sqref="F44:F52">
    <cfRule type="containsText" dxfId="141" priority="40" operator="containsText" text="0">
      <formula>NOT(ISERROR(SEARCH("0",F44)))</formula>
    </cfRule>
  </conditionalFormatting>
  <conditionalFormatting sqref="F55">
    <cfRule type="containsText" dxfId="140" priority="38" operator="containsText" text="0">
      <formula>NOT(ISERROR(SEARCH("0",F55)))</formula>
    </cfRule>
  </conditionalFormatting>
  <conditionalFormatting sqref="F60:F64">
    <cfRule type="containsText" dxfId="139" priority="36" operator="containsText" text="0">
      <formula>NOT(ISERROR(SEARCH("0",F60)))</formula>
    </cfRule>
  </conditionalFormatting>
  <conditionalFormatting sqref="G67">
    <cfRule type="containsText" dxfId="138" priority="34" operator="containsText" text="0">
      <formula>NOT(ISERROR(SEARCH("0",G67)))</formula>
    </cfRule>
  </conditionalFormatting>
  <conditionalFormatting sqref="F75">
    <cfRule type="containsText" dxfId="137" priority="32" operator="containsText" text="0">
      <formula>NOT(ISERROR(SEARCH("0",F75)))</formula>
    </cfRule>
  </conditionalFormatting>
  <conditionalFormatting sqref="F1 F3">
    <cfRule type="containsText" dxfId="136" priority="28" operator="containsText" text="0">
      <formula>NOT(ISERROR(SEARCH("0",F1)))</formula>
    </cfRule>
  </conditionalFormatting>
  <conditionalFormatting sqref="F2">
    <cfRule type="containsText" dxfId="135" priority="27" operator="containsText" text="0">
      <formula>NOT(ISERROR(SEARCH("0",F2)))</formula>
    </cfRule>
  </conditionalFormatting>
  <conditionalFormatting sqref="O67">
    <cfRule type="containsText" dxfId="134" priority="26" operator="containsText" text="0">
      <formula>NOT(ISERROR(SEARCH("0",O67)))</formula>
    </cfRule>
  </conditionalFormatting>
  <conditionalFormatting sqref="F87">
    <cfRule type="containsText" dxfId="133" priority="23" operator="containsText" text="0">
      <formula>NOT(ISERROR(SEARCH("0",F87)))</formula>
    </cfRule>
  </conditionalFormatting>
  <conditionalFormatting sqref="F77">
    <cfRule type="containsText" dxfId="132" priority="21" operator="containsText" text="0">
      <formula>NOT(ISERROR(SEARCH("0",F77)))</formula>
    </cfRule>
  </conditionalFormatting>
  <conditionalFormatting sqref="F66">
    <cfRule type="containsText" dxfId="131" priority="19" operator="containsText" text="0">
      <formula>NOT(ISERROR(SEARCH("0",F66)))</formula>
    </cfRule>
  </conditionalFormatting>
  <conditionalFormatting sqref="F54">
    <cfRule type="containsText" dxfId="130" priority="17" operator="containsText" text="0">
      <formula>NOT(ISERROR(SEARCH("0",F54)))</formula>
    </cfRule>
  </conditionalFormatting>
  <conditionalFormatting sqref="F40">
    <cfRule type="containsText" dxfId="129" priority="15" operator="containsText" text="0">
      <formula>NOT(ISERROR(SEARCH("0",F40)))</formula>
    </cfRule>
  </conditionalFormatting>
  <conditionalFormatting sqref="F28">
    <cfRule type="containsText" dxfId="128" priority="13" operator="containsText" text="0">
      <formula>NOT(ISERROR(SEARCH("0",F28)))</formula>
    </cfRule>
  </conditionalFormatting>
  <conditionalFormatting sqref="F15">
    <cfRule type="containsText" dxfId="127" priority="11" operator="containsText" text="0">
      <formula>NOT(ISERROR(SEARCH("0",F15)))</formula>
    </cfRule>
  </conditionalFormatting>
  <conditionalFormatting sqref="F17">
    <cfRule type="containsText" dxfId="126" priority="9" operator="containsText" text="0">
      <formula>NOT(ISERROR(SEARCH("0",F17)))</formula>
    </cfRule>
  </conditionalFormatting>
  <conditionalFormatting sqref="F19">
    <cfRule type="containsText" dxfId="125" priority="7" operator="containsText" text="0">
      <formula>NOT(ISERROR(SEARCH("0",F19)))</formula>
    </cfRule>
  </conditionalFormatting>
  <conditionalFormatting sqref="F21">
    <cfRule type="containsText" dxfId="124" priority="5" operator="containsText" text="0">
      <formula>NOT(ISERROR(SEARCH("0",F21)))</formula>
    </cfRule>
  </conditionalFormatting>
  <conditionalFormatting sqref="F23">
    <cfRule type="containsText" dxfId="123" priority="3" operator="containsText" text="0">
      <formula>NOT(ISERROR(SEARCH("0",F23)))</formula>
    </cfRule>
  </conditionalFormatting>
  <conditionalFormatting sqref="F27">
    <cfRule type="containsText" dxfId="122" priority="1" operator="containsText" text="0">
      <formula>NOT(ISERROR(SEARCH("0",F27)))</formula>
    </cfRule>
  </conditionalFormatting>
  <pageMargins left="0.7" right="0.7" top="0.75" bottom="0.75" header="0.3" footer="0.3"/>
  <pageSetup paperSize="9" scale="36" orientation="portrait" r:id="rId1"/>
  <rowBreaks count="1" manualBreakCount="1">
    <brk id="52" max="16383" man="1"/>
  </rowBreaks>
  <colBreaks count="1" manualBreakCount="1">
    <brk id="13" max="1048575" man="1"/>
  </colBreaks>
  <ignoredErrors>
    <ignoredError sqref="O38 O51 O52 O64 O75 O85 O94 O29 O30 O31 O32 O33 O34 O35 O36 O37 O41 O42 O43 O44 O45 O46 O47 O48 O49 O50 O55 O56 O57 O58 O59 O60 O61 O62 O63 O68 O69 O70 O71 O72 O73 O74 O78 O79 O80 O81 O82 O83 O84 O89 O90 O91 O92 O93 P29:S38 P41:S52 P55:S64 P68:S75 P78:S85 P89:S94" unlockedFormula="1"/>
  </ignoredErrors>
  <drawing r:id="rId2"/>
  <extLst>
    <ext xmlns:x14="http://schemas.microsoft.com/office/spreadsheetml/2009/9/main" uri="{78C0D931-6437-407d-A8EE-F0AAD7539E65}">
      <x14:conditionalFormattings>
        <x14:conditionalFormatting xmlns:xm="http://schemas.microsoft.com/office/excel/2006/main">
          <x14:cfRule type="iconSet" priority="52" id="{44C2085E-4B36-4C31-A417-CA66B0FD0C88}">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F88</xm:sqref>
        </x14:conditionalFormatting>
        <x14:conditionalFormatting xmlns:xm="http://schemas.microsoft.com/office/excel/2006/main">
          <x14:cfRule type="iconSet" priority="46" id="{72E99020-F6A9-4B93-9A95-C6EBDF10337A}">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F12</xm:sqref>
        </x14:conditionalFormatting>
        <x14:conditionalFormatting xmlns:xm="http://schemas.microsoft.com/office/excel/2006/main">
          <x14:cfRule type="iconSet" priority="41" id="{EA6D6993-00F0-44AC-B1C2-A8FA66CCD01D}">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F38</xm:sqref>
        </x14:conditionalFormatting>
        <x14:conditionalFormatting xmlns:xm="http://schemas.microsoft.com/office/excel/2006/main">
          <x14:cfRule type="iconSet" priority="39" id="{E738ADC8-DD4D-4490-AEAF-AD67817C8344}">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F44:F52</xm:sqref>
        </x14:conditionalFormatting>
        <x14:conditionalFormatting xmlns:xm="http://schemas.microsoft.com/office/excel/2006/main">
          <x14:cfRule type="iconSet" priority="37" id="{ED38C933-F44D-4437-B9BD-08F38ACF9385}">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F55</xm:sqref>
        </x14:conditionalFormatting>
        <x14:conditionalFormatting xmlns:xm="http://schemas.microsoft.com/office/excel/2006/main">
          <x14:cfRule type="iconSet" priority="35" id="{5ECC6C60-D8ED-40B1-83E2-71DE219581E5}">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F60:F64</xm:sqref>
        </x14:conditionalFormatting>
        <x14:conditionalFormatting xmlns:xm="http://schemas.microsoft.com/office/excel/2006/main">
          <x14:cfRule type="iconSet" priority="33" id="{FEB9A067-2F1D-4A77-A290-28BB31596757}">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G67</xm:sqref>
        </x14:conditionalFormatting>
        <x14:conditionalFormatting xmlns:xm="http://schemas.microsoft.com/office/excel/2006/main">
          <x14:cfRule type="iconSet" priority="31" id="{4A35EF39-8C4A-44DF-BB20-7B8B9453C9F2}">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F75</xm:sqref>
        </x14:conditionalFormatting>
        <x14:conditionalFormatting xmlns:xm="http://schemas.microsoft.com/office/excel/2006/main">
          <x14:cfRule type="iconSet" priority="506" id="{7C426902-0367-45AC-A385-4DC12FC24B6B}">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F88:F1048576 F86 F4:F5 F13 F39 F53 F56:F59 F65 F7:F11 F29:F37 F67:F74 F41:F43</xm:sqref>
        </x14:conditionalFormatting>
        <x14:conditionalFormatting xmlns:xm="http://schemas.microsoft.com/office/excel/2006/main">
          <x14:cfRule type="iconSet" priority="514" id="{9D49D07C-231C-4ADF-98E9-E98E09813290}">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F78:F85 F76</xm:sqref>
        </x14:conditionalFormatting>
        <x14:conditionalFormatting xmlns:xm="http://schemas.microsoft.com/office/excel/2006/main">
          <x14:cfRule type="iconSet" priority="29" id="{27458304-B911-481B-8AA9-D0E9CD0A8B6C}">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F3 F1</xm:sqref>
        </x14:conditionalFormatting>
        <x14:conditionalFormatting xmlns:xm="http://schemas.microsoft.com/office/excel/2006/main">
          <x14:cfRule type="iconSet" priority="30" id="{F216F285-EA22-4699-9F53-AFF0F67D2423}">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F2</xm:sqref>
        </x14:conditionalFormatting>
        <x14:conditionalFormatting xmlns:xm="http://schemas.microsoft.com/office/excel/2006/main">
          <x14:cfRule type="iconSet" priority="25" id="{ED491232-76D6-45AA-98CC-48BB91950721}">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O67</xm:sqref>
        </x14:conditionalFormatting>
        <x14:conditionalFormatting xmlns:xm="http://schemas.microsoft.com/office/excel/2006/main">
          <x14:cfRule type="iconSet" priority="24" id="{77331A11-FE79-4129-B3E3-C68E57F8F8C1}">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F87</xm:sqref>
        </x14:conditionalFormatting>
        <x14:conditionalFormatting xmlns:xm="http://schemas.microsoft.com/office/excel/2006/main">
          <x14:cfRule type="iconSet" priority="22" id="{71EB4BAA-0DAF-4C09-9D80-9C3EE276F14F}">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F77</xm:sqref>
        </x14:conditionalFormatting>
        <x14:conditionalFormatting xmlns:xm="http://schemas.microsoft.com/office/excel/2006/main">
          <x14:cfRule type="iconSet" priority="20" id="{6B918104-6503-467E-94DC-B13EF5B31A22}">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F66</xm:sqref>
        </x14:conditionalFormatting>
        <x14:conditionalFormatting xmlns:xm="http://schemas.microsoft.com/office/excel/2006/main">
          <x14:cfRule type="iconSet" priority="18" id="{6C8E3E08-14A3-406B-9460-AB7C05D749E9}">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F54</xm:sqref>
        </x14:conditionalFormatting>
        <x14:conditionalFormatting xmlns:xm="http://schemas.microsoft.com/office/excel/2006/main">
          <x14:cfRule type="iconSet" priority="16" id="{5E1F40FE-181F-4DBF-A530-E1DC0876279F}">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F40</xm:sqref>
        </x14:conditionalFormatting>
        <x14:conditionalFormatting xmlns:xm="http://schemas.microsoft.com/office/excel/2006/main">
          <x14:cfRule type="iconSet" priority="14" id="{24EF663D-16AA-404D-A521-33C067B958F3}">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F28</xm:sqref>
        </x14:conditionalFormatting>
        <x14:conditionalFormatting xmlns:xm="http://schemas.microsoft.com/office/excel/2006/main">
          <x14:cfRule type="iconSet" priority="12" id="{1CF974CA-DE2D-47AD-8652-D8A52D27F15A}">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F15</xm:sqref>
        </x14:conditionalFormatting>
        <x14:conditionalFormatting xmlns:xm="http://schemas.microsoft.com/office/excel/2006/main">
          <x14:cfRule type="iconSet" priority="10" id="{B301AAFF-BF49-4482-B42F-9B8B2F79023A}">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F17</xm:sqref>
        </x14:conditionalFormatting>
        <x14:conditionalFormatting xmlns:xm="http://schemas.microsoft.com/office/excel/2006/main">
          <x14:cfRule type="iconSet" priority="8" id="{D582360D-B1DC-4C03-B4F6-3BEA72871634}">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F19</xm:sqref>
        </x14:conditionalFormatting>
        <x14:conditionalFormatting xmlns:xm="http://schemas.microsoft.com/office/excel/2006/main">
          <x14:cfRule type="iconSet" priority="6" id="{A78D8E8C-00CA-4D3B-8E9E-9C8DCC9ADC7F}">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F21</xm:sqref>
        </x14:conditionalFormatting>
        <x14:conditionalFormatting xmlns:xm="http://schemas.microsoft.com/office/excel/2006/main">
          <x14:cfRule type="iconSet" priority="4" id="{4869D628-7618-47BD-BB03-25589C9BE167}">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F23</xm:sqref>
        </x14:conditionalFormatting>
        <x14:conditionalFormatting xmlns:xm="http://schemas.microsoft.com/office/excel/2006/main">
          <x14:cfRule type="iconSet" priority="2" id="{25A59003-7FAB-4FBC-A3CB-F38831565D33}">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F27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Parameters!$B$18:$B$22</xm:f>
          </x14:formula1>
          <xm:sqref>G89:G94 G41:G52 G29:G38 G78:G85 G55:G64 G68:G75</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2" tint="0.79998168889431442"/>
  </sheetPr>
  <dimension ref="A1:U54"/>
  <sheetViews>
    <sheetView showGridLines="0" zoomScale="80" zoomScaleNormal="80" workbookViewId="0"/>
  </sheetViews>
  <sheetFormatPr defaultColWidth="9.26953125" defaultRowHeight="13.8" x14ac:dyDescent="0.25"/>
  <cols>
    <col min="1" max="2" width="1.6328125" style="187" customWidth="1"/>
    <col min="3" max="3" width="2.6328125" style="187" customWidth="1"/>
    <col min="4" max="4" width="3.1796875" style="341" customWidth="1"/>
    <col min="5" max="5" width="55.6328125" style="187" customWidth="1"/>
    <col min="6" max="6" width="2.6328125" style="327" customWidth="1"/>
    <col min="7" max="7" width="14.6328125" style="314" customWidth="1"/>
    <col min="8" max="8" width="30.6328125" customWidth="1"/>
    <col min="9" max="9" width="20.6328125" customWidth="1"/>
    <col min="10" max="10" width="20.6328125" style="314" customWidth="1"/>
    <col min="11" max="11" width="10.6328125" style="187" customWidth="1"/>
    <col min="12" max="12" width="1.6328125" style="343" customWidth="1"/>
    <col min="13" max="13" width="1.6328125" style="344" customWidth="1"/>
    <col min="14" max="14" width="1.6328125" style="343" customWidth="1"/>
    <col min="15" max="15" width="14.6328125" style="314" customWidth="1"/>
    <col min="16" max="16" width="30.6328125" style="250" customWidth="1"/>
    <col min="17" max="17" width="20.6328125" style="250" customWidth="1"/>
    <col min="18" max="18" width="20.6328125" style="314" customWidth="1"/>
    <col min="19" max="19" width="10.6328125" style="187" customWidth="1"/>
    <col min="20" max="20" width="1.6328125" style="343" customWidth="1"/>
    <col min="21" max="21" width="1.6328125" style="344" customWidth="1"/>
    <col min="22" max="16384" width="9.26953125" style="187"/>
  </cols>
  <sheetData>
    <row r="1" spans="1:21" s="143" customFormat="1" ht="11.4" x14ac:dyDescent="0.25">
      <c r="A1" s="138"/>
      <c r="B1" s="138"/>
      <c r="C1" s="138"/>
      <c r="D1" s="138"/>
      <c r="E1" s="138"/>
      <c r="F1" s="255"/>
      <c r="G1" s="254"/>
      <c r="H1" s="254"/>
      <c r="I1" s="254"/>
      <c r="J1" s="254"/>
      <c r="K1" s="254"/>
      <c r="L1" s="138"/>
      <c r="M1" s="138"/>
      <c r="N1" s="138"/>
      <c r="O1" s="254"/>
      <c r="P1" s="254"/>
      <c r="Q1" s="254"/>
      <c r="R1" s="254"/>
      <c r="S1" s="254"/>
      <c r="T1" s="138"/>
      <c r="U1" s="138"/>
    </row>
    <row r="2" spans="1:21" s="261" customFormat="1" ht="15" customHeight="1" x14ac:dyDescent="0.2">
      <c r="A2" s="256"/>
      <c r="B2" s="145"/>
      <c r="C2" s="257"/>
      <c r="D2" s="148"/>
      <c r="E2" s="258"/>
      <c r="F2" s="149"/>
      <c r="G2" s="259"/>
      <c r="H2" s="259"/>
      <c r="I2" s="259"/>
      <c r="J2" s="259"/>
      <c r="K2" s="259"/>
      <c r="L2" s="150"/>
      <c r="M2" s="256"/>
      <c r="N2" s="903"/>
      <c r="O2" s="904"/>
      <c r="P2" s="904"/>
      <c r="Q2" s="904"/>
      <c r="R2" s="904"/>
      <c r="S2" s="904"/>
      <c r="T2" s="905"/>
      <c r="U2" s="256"/>
    </row>
    <row r="3" spans="1:21" s="261" customFormat="1" ht="25.05" customHeight="1" x14ac:dyDescent="0.25">
      <c r="A3" s="256"/>
      <c r="B3" s="152"/>
      <c r="C3" s="153" t="s">
        <v>82</v>
      </c>
      <c r="D3" s="154"/>
      <c r="E3" s="436"/>
      <c r="F3" s="155"/>
      <c r="H3" s="272" t="str">
        <f>IF(VLOOKUP("GEN-TOTAL",Languages!$A:$D,1,TRUE)="GEN-TOTAL",VLOOKUP("GEN-TOTAL",Languages!$A:$D,Summary!$C$7,TRUE),NA())</f>
        <v>Kokonaisarvio</v>
      </c>
      <c r="I3" s="156" t="str">
        <f>IF(VLOOKUP("GEN-SEC",Languages!$A:$D,1,TRUE)="GEN-SEC",VLOOKUP("GEN-SEC",Languages!$A:$D,Summary!$C$7,TRUE),NA())</f>
        <v>Tiedon luokittelu</v>
      </c>
      <c r="J3" s="437"/>
      <c r="L3" s="157"/>
      <c r="M3" s="256"/>
      <c r="N3" s="906"/>
      <c r="O3" s="1219" t="str">
        <f>VLOOKUP($C$3,Infoimport!$B$4:$C$14,2,FALSE)</f>
        <v>PROGRAM, tiedot Infoimport-välilehdeltä</v>
      </c>
      <c r="P3" s="1219"/>
      <c r="Q3" s="1219"/>
      <c r="R3" s="1219"/>
      <c r="S3" s="1219"/>
      <c r="T3" s="907"/>
      <c r="U3" s="256"/>
    </row>
    <row r="4" spans="1:21" s="322" customFormat="1" ht="25.05" customHeight="1" x14ac:dyDescent="0.3">
      <c r="A4" s="320"/>
      <c r="B4" s="321"/>
      <c r="C4" s="158" t="str">
        <f>IF(VLOOKUP($C$3,Languages!$A:$D,1,TRUE)=$C$3,VLOOKUP($C$3,Languages!$A:$D,Summary!$C$7,TRUE),NA())</f>
        <v>Kyberturvallisuuden hallinta (PROGRAM)</v>
      </c>
      <c r="D4" s="262"/>
      <c r="E4" s="263"/>
      <c r="F4" s="324"/>
      <c r="G4" s="348"/>
      <c r="H4" s="265" t="str">
        <f ca="1">VLOOKUP(VLOOKUP(CONCATENATE($C$3),Data!$K:$O,5,FALSE),Parameters!$C$7:$F$10,Summary!$C$7,FALSE)</f>
        <v>Kypsyystaso 0</v>
      </c>
      <c r="I4" s="781"/>
      <c r="J4" s="266"/>
      <c r="K4" s="261"/>
      <c r="L4" s="157"/>
      <c r="M4" s="256"/>
      <c r="N4" s="906"/>
      <c r="O4" s="1219"/>
      <c r="P4" s="1219"/>
      <c r="Q4" s="1219"/>
      <c r="R4" s="1219"/>
      <c r="S4" s="1219"/>
      <c r="T4" s="907"/>
      <c r="U4" s="256"/>
    </row>
    <row r="5" spans="1:21" ht="10.050000000000001" customHeight="1" x14ac:dyDescent="0.25">
      <c r="A5" s="181"/>
      <c r="B5" s="312"/>
      <c r="C5" s="325"/>
      <c r="D5" s="326"/>
      <c r="E5" s="326"/>
      <c r="F5" s="265"/>
      <c r="G5" s="265"/>
      <c r="I5" s="266"/>
      <c r="J5" s="266"/>
      <c r="K5" s="261"/>
      <c r="L5" s="157"/>
      <c r="M5" s="256"/>
      <c r="N5" s="906"/>
      <c r="O5" s="1219"/>
      <c r="P5" s="1219"/>
      <c r="Q5" s="1219"/>
      <c r="R5" s="1219"/>
      <c r="S5" s="1219"/>
      <c r="T5" s="907"/>
      <c r="U5" s="256"/>
    </row>
    <row r="6" spans="1:21" ht="70.05" customHeight="1" x14ac:dyDescent="0.2">
      <c r="A6" s="181"/>
      <c r="B6" s="312"/>
      <c r="C6" s="1216" t="str">
        <f>IF(VLOOKUP(CONCATENATE(C3,"-0"),Languages!$A:$D,1,TRUE)=CONCATENATE(C3,"-0"),VLOOKUP(CONCATENATE(C3,"-0"),Languages!$A:$D,Summary!$C$7,TRUE),NA())</f>
        <v>Kyberturvallisuusohjelman osiossa arvioidaan organisaation kykyä hallita ja ylläpitää organisaationlaajuista kyberturvallisuusohjelmaa. Kyberturvallisuusohjelman tarkoitus on määritellä kyberturvallisuuden hallintamalli ("governance"), kyberturvallisuuden strateginen kehittäminen ja liiketoimintajohdon tuki kyberturvallisuudelle tavalla, joka on suhteessa sekä suojattaviin kohteisiin kohdistuviin riskeihin, että organisaation asettamiin tavoitteisiin nähden.</v>
      </c>
      <c r="D6" s="1216"/>
      <c r="E6" s="1216"/>
      <c r="F6" s="1216"/>
      <c r="G6" s="1216"/>
      <c r="H6" s="1216"/>
      <c r="I6" s="1216"/>
      <c r="J6" s="1216"/>
      <c r="K6" s="1216"/>
      <c r="L6" s="157"/>
      <c r="M6" s="256"/>
      <c r="N6" s="906"/>
      <c r="O6" s="1219"/>
      <c r="P6" s="1219"/>
      <c r="Q6" s="1219"/>
      <c r="R6" s="1219"/>
      <c r="S6" s="1219"/>
      <c r="T6" s="907"/>
      <c r="U6" s="256"/>
    </row>
    <row r="7" spans="1:21" ht="14.4" customHeight="1" x14ac:dyDescent="0.2">
      <c r="A7" s="181"/>
      <c r="B7" s="312"/>
      <c r="C7" s="268">
        <v>1</v>
      </c>
      <c r="D7" s="269" t="s">
        <v>1</v>
      </c>
      <c r="E7" s="270" t="str">
        <f>IF(VLOOKUP(CONCATENATE($C$3,"-",C7),Languages!$A:$D,1,TRUE)=CONCATENATE($C$3,"-",C7),VLOOKUP(CONCATENATE($C$3,"-",C7),Languages!$A:$D,Summary!$C$7,TRUE),NA())</f>
        <v>Kyberturvallisuusstrategia</v>
      </c>
      <c r="H7" s="271" t="str">
        <f ca="1">VLOOKUP(VLOOKUP(CONCATENATE($C$3,"-",$C7),Data!$K:$O,5,FALSE),Parameters!$C$7:$F$10,Summary!$C$7,FALSE)</f>
        <v>Kypsyystaso 0</v>
      </c>
      <c r="I7" s="505" t="str">
        <f>IF(VLOOKUP("KM110",Languages!$A:$D,1,TRUE)="KM110",VLOOKUP("KM110",Languages!$A:$D,Summary!$C$7,TRUE),NA())</f>
        <v>Päivämäärä</v>
      </c>
      <c r="J7" s="479"/>
      <c r="K7" s="261"/>
      <c r="L7" s="157"/>
      <c r="M7" s="256"/>
      <c r="N7" s="906"/>
      <c r="O7" s="1219"/>
      <c r="P7" s="1219"/>
      <c r="Q7" s="1219"/>
      <c r="R7" s="1219"/>
      <c r="S7" s="1219"/>
      <c r="T7" s="907"/>
      <c r="U7" s="256"/>
    </row>
    <row r="8" spans="1:21" ht="14.4" customHeight="1" x14ac:dyDescent="0.25">
      <c r="A8" s="181"/>
      <c r="B8" s="312"/>
      <c r="C8" s="268">
        <v>2</v>
      </c>
      <c r="D8" s="269" t="s">
        <v>1</v>
      </c>
      <c r="E8" s="270" t="str">
        <f>IF(VLOOKUP(CONCATENATE($C$3,"-",C8),Languages!$A:$D,1,TRUE)=CONCATENATE($C$3,"-",C8),VLOOKUP(CONCATENATE($C$3,"-",C8),Languages!$A:$D,Summary!$C$7,TRUE),NA())</f>
        <v>Johdon tuki kyberturvallisuusohjelmalle</v>
      </c>
      <c r="F8" s="328"/>
      <c r="H8" s="271" t="str">
        <f ca="1">VLOOKUP(VLOOKUP(CONCATENATE($C$3,"-",$C8),Data!$K:$O,5,FALSE),Parameters!$C$7:$F$10,Summary!$C$7,FALSE)</f>
        <v>Kypsyystaso 0</v>
      </c>
      <c r="I8" s="1217"/>
      <c r="J8" s="1218"/>
      <c r="K8" s="261"/>
      <c r="L8" s="157"/>
      <c r="M8" s="256"/>
      <c r="N8" s="906"/>
      <c r="O8" s="1219"/>
      <c r="P8" s="1219"/>
      <c r="Q8" s="1219"/>
      <c r="R8" s="1219"/>
      <c r="S8" s="1219"/>
      <c r="T8" s="907"/>
      <c r="U8" s="256"/>
    </row>
    <row r="9" spans="1:21" ht="14.4" customHeight="1" x14ac:dyDescent="0.2">
      <c r="A9" s="181"/>
      <c r="B9" s="312"/>
      <c r="C9" s="268">
        <v>3</v>
      </c>
      <c r="D9" s="269" t="s">
        <v>1</v>
      </c>
      <c r="E9" s="270" t="str">
        <f>IF(VLOOKUP(CONCATENATE($C$3,"-",C9),Languages!$A:$D,1,TRUE)=CONCATENATE($C$3,"-",C9),VLOOKUP(CONCATENATE($C$3,"-",C9),Languages!$A:$D,Summary!$C$7,TRUE),NA())</f>
        <v>Yleisiä hallintatoimia</v>
      </c>
      <c r="F9" s="329"/>
      <c r="H9" s="271" t="str">
        <f ca="1">VLOOKUP(VLOOKUP(CONCATENATE($C$3,"-",$C9),Data!$K:$O,5,FALSE),Parameters!$C$7:$F$10,Summary!$C$7,FALSE)</f>
        <v>Kypsyystaso 1</v>
      </c>
      <c r="I9" s="505" t="str">
        <f>IF(VLOOKUP("KM111",Languages!$A:$D,1,TRUE)="KM111",VLOOKUP("KM111",Languages!$A:$D,Summary!$C$7,TRUE),NA())</f>
        <v>Osallistujat</v>
      </c>
      <c r="J9" s="479"/>
      <c r="K9" s="261"/>
      <c r="L9" s="157"/>
      <c r="M9" s="256"/>
      <c r="N9" s="906"/>
      <c r="O9" s="1219"/>
      <c r="P9" s="1219"/>
      <c r="Q9" s="1219"/>
      <c r="R9" s="1219"/>
      <c r="S9" s="1219"/>
      <c r="T9" s="907"/>
      <c r="U9" s="256"/>
    </row>
    <row r="10" spans="1:21" ht="14.4" customHeight="1" x14ac:dyDescent="0.2">
      <c r="A10" s="181"/>
      <c r="B10" s="312"/>
      <c r="C10" s="268"/>
      <c r="D10" s="269"/>
      <c r="E10" s="270"/>
      <c r="F10" s="329"/>
      <c r="H10" s="271"/>
      <c r="I10" s="1208"/>
      <c r="J10" s="1209"/>
      <c r="K10" s="261"/>
      <c r="L10" s="157"/>
      <c r="M10" s="256"/>
      <c r="N10" s="906"/>
      <c r="O10" s="1219"/>
      <c r="P10" s="1219"/>
      <c r="Q10" s="1219"/>
      <c r="R10" s="1219"/>
      <c r="S10" s="1219"/>
      <c r="T10" s="907"/>
      <c r="U10" s="256"/>
    </row>
    <row r="11" spans="1:21" ht="14.4" customHeight="1" x14ac:dyDescent="0.2">
      <c r="A11" s="181"/>
      <c r="B11" s="312"/>
      <c r="C11" s="268"/>
      <c r="D11" s="269"/>
      <c r="E11" s="270"/>
      <c r="F11" s="329"/>
      <c r="H11" s="271"/>
      <c r="I11" s="1210"/>
      <c r="J11" s="1211"/>
      <c r="K11" s="261"/>
      <c r="L11" s="157"/>
      <c r="M11" s="256"/>
      <c r="N11" s="906"/>
      <c r="O11" s="1219"/>
      <c r="P11" s="1219"/>
      <c r="Q11" s="1219"/>
      <c r="R11" s="1219"/>
      <c r="S11" s="1219"/>
      <c r="T11" s="907"/>
      <c r="U11" s="256"/>
    </row>
    <row r="12" spans="1:21" s="180" customFormat="1" ht="30" customHeight="1" x14ac:dyDescent="0.25">
      <c r="A12" s="169"/>
      <c r="B12" s="273"/>
      <c r="C12" s="173">
        <v>1</v>
      </c>
      <c r="D12" s="173" t="str">
        <f>IF(VLOOKUP(CONCATENATE($C$3,"-",C12),Languages!$A:$D,1,TRUE)=CONCATENATE($C$3,"-",C12),VLOOKUP(CONCATENATE($C$3,"-",C12),Languages!$A:$D,Summary!$C$7,TRUE),NA())</f>
        <v>Kyberturvallisuusstrategia</v>
      </c>
      <c r="E12" s="173"/>
      <c r="F12" s="275"/>
      <c r="G12" s="275"/>
      <c r="H12" s="275"/>
      <c r="I12" s="275"/>
      <c r="J12" s="275"/>
      <c r="K12" s="275"/>
      <c r="L12" s="157"/>
      <c r="M12" s="256"/>
      <c r="N12" s="906"/>
      <c r="O12" s="1219"/>
      <c r="P12" s="1219"/>
      <c r="Q12" s="1219"/>
      <c r="R12" s="1219"/>
      <c r="S12" s="1219"/>
      <c r="T12" s="907"/>
      <c r="U12" s="256"/>
    </row>
    <row r="13" spans="1:21" s="282" customFormat="1" ht="63" customHeight="1" x14ac:dyDescent="0.2">
      <c r="A13" s="279"/>
      <c r="B13" s="280"/>
      <c r="C13" s="1223" t="str">
        <f>IF(VLOOKUP(CONCATENATE($C$3,"-",$C12,"-0"),Languages!$A:$D,1,TRUE)=CONCATENATE($C$3,"-",$C12,"-0"),VLOOKUP(CONCATENATE($C$3,"-",$C12,"-0"),Languages!$A:$D,Summary!$C$7,TRUE),NA())</f>
        <v>Kyberturvallisuusstrategia toimii kyberturvallisuusohjelman perustana. Yksinkertaisimmassa muodossa, kyberturvallisuusstrategia pitää sisällään listan kyberturvallisuustavoitteista ja suunnitelman niiden saavuttamiseksi. Korkeammalla kypsyystasolla kyberturvallisuusstrategia on täydellisempi ja sisältää prioriteetit, hallintamallin kuvauksen ("governance"), kyberturvallisuusohjelman organisaatiorakenteen ja ylemmän johdon vahvemman osallistumisen ohjelmaan suunnitteluun. Kyberturvallisuusstrategia voi olla oma dokumenttinsa, mutta usein se on kirjattu osaksi organisaation kyberturvallisuuspolitiikkaa.</v>
      </c>
      <c r="D13" s="1223"/>
      <c r="E13" s="1223"/>
      <c r="F13" s="1223"/>
      <c r="G13" s="1223"/>
      <c r="H13" s="1223"/>
      <c r="I13" s="1223"/>
      <c r="J13" s="1223"/>
      <c r="K13" s="1223"/>
      <c r="L13" s="157"/>
      <c r="M13" s="256"/>
      <c r="N13" s="906"/>
      <c r="O13" s="1219"/>
      <c r="P13" s="1219"/>
      <c r="Q13" s="1219"/>
      <c r="R13" s="1219"/>
      <c r="S13" s="1219"/>
      <c r="T13" s="907"/>
      <c r="U13" s="256"/>
    </row>
    <row r="14" spans="1:21" s="180" customFormat="1" ht="30" customHeight="1" thickBot="1" x14ac:dyDescent="0.3">
      <c r="A14" s="169"/>
      <c r="B14" s="273"/>
      <c r="C14" s="349">
        <v>2</v>
      </c>
      <c r="D14" s="349" t="str">
        <f>IF(VLOOKUP(CONCATENATE($C$3,"-",C14),Languages!$A:$D,1,TRUE)=CONCATENATE($C$3,"-",C14),VLOOKUP(CONCATENATE($C$3,"-",C14),Languages!$A:$D,Summary!$C$7,TRUE),NA())</f>
        <v>Johdon tuki kyberturvallisuusohjelmalle</v>
      </c>
      <c r="E14" s="349"/>
      <c r="F14" s="350"/>
      <c r="G14" s="350" t="s">
        <v>16</v>
      </c>
      <c r="H14" s="350"/>
      <c r="I14" s="350"/>
      <c r="J14" s="350"/>
      <c r="K14" s="350"/>
      <c r="L14" s="157"/>
      <c r="M14" s="256"/>
      <c r="N14" s="906"/>
      <c r="O14" s="1219"/>
      <c r="P14" s="1219"/>
      <c r="Q14" s="1219"/>
      <c r="R14" s="1219"/>
      <c r="S14" s="1219"/>
      <c r="T14" s="907"/>
      <c r="U14" s="256"/>
    </row>
    <row r="15" spans="1:21" s="282" customFormat="1" ht="45" customHeight="1" x14ac:dyDescent="0.2">
      <c r="A15" s="279"/>
      <c r="B15" s="280"/>
      <c r="C15" s="1257" t="str">
        <f>IF(VLOOKUP(CONCATENATE($C$3,"-",$C14,"-0"),Languages!$A:$D,1,TRUE)=CONCATENATE($C$3,"-",$C14,"-0"),VLOOKUP(CONCATENATE($C$3,"-",$C14,"-0"),Languages!$A:$D,Summary!$C$7,TRUE),NA())</f>
        <v>Johdon tuki on tärkeää kyberturvallisuusohjelman jalkauttamiselle kyberturvallisuusstrategian mukaisesti. Perustasolla tuki sisältää riittävien resurssien turvaamisen (henkilöt, työkalut ja rahoitus). Kehittyneemmässä organisaatiossa tuki pitää sisällään ylimmän johdon näkyvän osallistumisen sekä vastuiden määrittelyn ja valtuutukset kyberturvallisuusohjelmalle. Lisäksi tuki kattaa organisatorisen tuen, jota vaaditaan poliitikkojen tai vastaavien ohjeistusten määrittämiseksi ja ylläpitämiseksi.</v>
      </c>
      <c r="D15" s="1257"/>
      <c r="E15" s="1257"/>
      <c r="F15" s="1257"/>
      <c r="G15" s="1257"/>
      <c r="H15" s="1257"/>
      <c r="I15" s="1257"/>
      <c r="J15" s="1257"/>
      <c r="K15" s="1257"/>
      <c r="L15" s="157"/>
      <c r="M15" s="256"/>
      <c r="N15" s="906"/>
      <c r="O15" s="1219"/>
      <c r="P15" s="1219"/>
      <c r="Q15" s="1219"/>
      <c r="R15" s="1219"/>
      <c r="S15" s="1219"/>
      <c r="T15" s="907"/>
      <c r="U15" s="256"/>
    </row>
    <row r="16" spans="1:21" s="180" customFormat="1" ht="30" customHeight="1" x14ac:dyDescent="0.25">
      <c r="A16" s="169"/>
      <c r="B16" s="273"/>
      <c r="C16" s="173">
        <v>3</v>
      </c>
      <c r="D16" s="173" t="str">
        <f>IF(VLOOKUP(CONCATENATE($C$3,"-",C16),Languages!$A:$D,1,TRUE)=CONCATENATE($C$3,"-",C16),VLOOKUP(CONCATENATE($C$3,"-",C16),Languages!$A:$D,Summary!$C$7,TRUE),NA())</f>
        <v>Yleisiä hallintatoimia</v>
      </c>
      <c r="E16" s="173"/>
      <c r="F16" s="296"/>
      <c r="G16" s="296" t="s">
        <v>16</v>
      </c>
      <c r="H16" s="296"/>
      <c r="I16" s="296"/>
      <c r="J16" s="296"/>
      <c r="K16" s="296"/>
      <c r="L16" s="157"/>
      <c r="M16" s="256"/>
      <c r="N16" s="906"/>
      <c r="O16" s="1219"/>
      <c r="P16" s="1219"/>
      <c r="Q16" s="1219"/>
      <c r="R16" s="1219"/>
      <c r="S16" s="1219"/>
      <c r="T16" s="907"/>
      <c r="U16" s="256"/>
    </row>
    <row r="17" spans="1:21" s="282" customFormat="1" ht="52.8" customHeight="1" x14ac:dyDescent="0.2">
      <c r="A17" s="309"/>
      <c r="B17" s="310"/>
      <c r="C17" s="1223" t="str">
        <f>IF(VLOOKUP(CONCATENATE($C$3,"-",$C16,"-0"),Languages!$A:$D,1,TRUE)=CONCATENATE($C$3,"-",$C16,"-0"),VLOOKUP(CONCATENATE($C$3,"-",$C16,"-0"),Languages!$A:$D,Summary!$C$7,TRUE),NA())</f>
        <v>Yleisillä hallintatoimilla arvioidaan sitä, kuinka syvällisesti osion kyberturvallisuuskäytännöt ovat juurtuneet osaksi organisaation toimintaa. Mitä syvemmin käytännöt ovat osa organisaation päivittäistä tekemistä sitä todennäköisempää on, että organisaatio noudattaa niitä myös kriisitilanteissa ja ajan kuluessa. Toisin sanoen, toiminta säilyy säännöllisenä, toistettavana ja korkealaatuisena.</v>
      </c>
      <c r="D17" s="1223"/>
      <c r="E17" s="1223"/>
      <c r="F17" s="1223"/>
      <c r="G17" s="1223"/>
      <c r="H17" s="1223"/>
      <c r="I17" s="1223"/>
      <c r="J17" s="1223"/>
      <c r="K17" s="1223"/>
      <c r="L17" s="157"/>
      <c r="M17" s="256"/>
      <c r="N17" s="908"/>
      <c r="O17" s="1220"/>
      <c r="P17" s="1220"/>
      <c r="Q17" s="1220"/>
      <c r="R17" s="1220"/>
      <c r="S17" s="1220"/>
      <c r="T17" s="909"/>
      <c r="U17" s="256"/>
    </row>
    <row r="18" spans="1:21" s="282" customFormat="1" ht="18" customHeight="1" x14ac:dyDescent="0.25">
      <c r="A18" s="309"/>
      <c r="B18" s="734"/>
      <c r="C18" s="734"/>
      <c r="D18" s="734"/>
      <c r="E18" s="734"/>
      <c r="F18" s="734"/>
      <c r="G18" s="734"/>
      <c r="H18" s="734"/>
      <c r="I18" s="734"/>
      <c r="J18" s="734"/>
      <c r="K18" s="734"/>
      <c r="L18" s="735"/>
      <c r="M18" s="138"/>
      <c r="N18" s="138"/>
      <c r="O18" s="255"/>
      <c r="P18" s="254"/>
      <c r="Q18" s="855"/>
      <c r="R18" s="254"/>
      <c r="S18" s="254"/>
      <c r="T18" s="138"/>
      <c r="U18" s="138"/>
    </row>
    <row r="19" spans="1:21" s="282" customFormat="1" ht="19.95" customHeight="1" x14ac:dyDescent="0.2">
      <c r="A19" s="309"/>
      <c r="B19" s="723"/>
      <c r="C19" s="721"/>
      <c r="D19" s="721"/>
      <c r="E19" s="721"/>
      <c r="F19" s="721"/>
      <c r="G19" s="721"/>
      <c r="H19" s="721"/>
      <c r="I19" s="721"/>
      <c r="J19" s="721"/>
      <c r="K19" s="721"/>
      <c r="L19" s="722"/>
      <c r="M19" s="256"/>
      <c r="N19" s="504" t="str">
        <f>IF(VLOOKUP("KM116",Languages!$A:$D,1,TRUE)="KM116",VLOOKUP("KM116",Languages!$A:$D,Summary!$C$7,TRUE),NA())</f>
        <v>EDELLINEN ARVIOINTI</v>
      </c>
      <c r="O19" s="442"/>
      <c r="P19" s="259"/>
      <c r="Q19" s="856" t="str">
        <f>IF(VLOOKUP("KM110",Languages!$A:$D,1,TRUE)="KM110",VLOOKUP("KM110",Languages!$A:$D,Summary!$C$7,TRUE),NA())</f>
        <v>Päivämäärä</v>
      </c>
      <c r="R19" s="259"/>
      <c r="S19" s="259"/>
      <c r="T19" s="150"/>
      <c r="U19" s="256"/>
    </row>
    <row r="20" spans="1:21" s="180" customFormat="1" ht="19.95" customHeight="1" x14ac:dyDescent="0.25">
      <c r="A20" s="169"/>
      <c r="B20" s="273"/>
      <c r="C20" s="173">
        <v>1</v>
      </c>
      <c r="D20" s="173" t="str">
        <f>IF(VLOOKUP(CONCATENATE($C$3,"-",C20),Languages!$A:$D,1,TRUE)=CONCATENATE($C$3,"-",C20),VLOOKUP(CONCATENATE($C$3,"-",C20),Languages!$A:$D,Summary!$C$7,TRUE),NA())</f>
        <v>Kyberturvallisuusstrategia</v>
      </c>
      <c r="E20" s="173"/>
      <c r="F20" s="275"/>
      <c r="G20" s="275"/>
      <c r="H20" s="275"/>
      <c r="I20" s="275"/>
      <c r="J20" s="275"/>
      <c r="K20" s="275"/>
      <c r="L20" s="157"/>
      <c r="M20" s="309"/>
      <c r="N20" s="310"/>
      <c r="O20" s="443"/>
      <c r="P20" s="438"/>
      <c r="Q20" s="984"/>
      <c r="R20" s="955"/>
      <c r="S20" s="955"/>
      <c r="T20" s="281"/>
      <c r="U20" s="309"/>
    </row>
    <row r="21" spans="1:21" s="289" customFormat="1" ht="19.95" customHeight="1" x14ac:dyDescent="0.2">
      <c r="A21" s="308"/>
      <c r="B21" s="283"/>
      <c r="C21" s="284" t="str">
        <f>IF(VLOOKUP("GEN-LEVEL",Languages!$A:$D,1,TRUE)="GEN-LEVEL",VLOOKUP("GEN-LEVEL",Languages!$A:$D,Summary!$C$7,TRUE),NA())</f>
        <v>Taso</v>
      </c>
      <c r="D21" s="284"/>
      <c r="E21" s="285" t="str">
        <f>IF(VLOOKUP("GEN-PRACTICE",Languages!$A:$D,1,TRUE)="GEN-PRACTICE",VLOOKUP("GEN-PRACTICE",Languages!$A:$D,Summary!$C$7,TRUE),NA())</f>
        <v>Käytäntö</v>
      </c>
      <c r="F21" s="286"/>
      <c r="G21" s="1003" t="str">
        <f>IF(VLOOKUP("GEN-ANSWER",Languages!$A:$D,1,TRUE)="GEN-ANSWER",VLOOKUP("GEN-ANSWER",Languages!$A:$D,Summary!$C$7,TRUE),NA())</f>
        <v>Vastaus</v>
      </c>
      <c r="H21" s="1004" t="str">
        <f>IF(VLOOKUP("KM112",Languages!$A:$D,1,TRUE)="KM112",VLOOKUP("KM112",Languages!$A:$D,Summary!$C$7,TRUE),NA())</f>
        <v>Kommentit</v>
      </c>
      <c r="I21" s="1004" t="str">
        <f>IF(VLOOKUP("KM113",Languages!$A:$D,1,TRUE)="KM113",VLOOKUP("KM113",Languages!$A:$D,Summary!$C$7,TRUE),NA())</f>
        <v>Sisäinen viittaus</v>
      </c>
      <c r="J21" s="1004" t="str">
        <f>IF(VLOOKUP("KM114",Languages!$A:$D,1,TRUE)="KM114",VLOOKUP("KM114",Languages!$A:$D,Summary!$C$7,TRUE),NA())</f>
        <v>Ulkoinen viittaus</v>
      </c>
      <c r="K21" s="1004" t="str">
        <f>IF(VLOOKUP("KM115",Languages!$A:$D,1,TRUE)="KM115",VLOOKUP("KM115",Languages!$A:$D,Summary!$C$7,TRUE),NA())</f>
        <v>Kehityskohde</v>
      </c>
      <c r="L21" s="287"/>
      <c r="M21" s="288"/>
      <c r="N21" s="283"/>
      <c r="O21" s="503" t="str">
        <f>IF(VLOOKUP("GEN-ANSWER",Languages!$A:$D,1,TRUE)="GEN-ANSWER",VLOOKUP("GEN-ANSWER",Languages!$A:$D,Summary!$C$7,TRUE),NA())</f>
        <v>Vastaus</v>
      </c>
      <c r="P21" s="503" t="str">
        <f>IF(VLOOKUP("KM112",Languages!$A:$D,1,TRUE)="KM112",VLOOKUP("KM112",Languages!$A:$D,Summary!$C$7,TRUE),NA())</f>
        <v>Kommentit</v>
      </c>
      <c r="Q21" s="503" t="str">
        <f>IF(VLOOKUP("KM113",Languages!$A:$D,1,TRUE)="KM113",VLOOKUP("KM113",Languages!$A:$D,Summary!$C$7,TRUE),NA())</f>
        <v>Sisäinen viittaus</v>
      </c>
      <c r="R21" s="503" t="str">
        <f>IF(VLOOKUP("KM114",Languages!$A:$D,1,TRUE)="KM114",VLOOKUP("KM114",Languages!$A:$D,Summary!$C$7,TRUE),NA())</f>
        <v>Ulkoinen viittaus</v>
      </c>
      <c r="S21" s="503" t="str">
        <f>IF(VLOOKUP("KM115",Languages!$A:$D,1,TRUE)="KM115",VLOOKUP("KM115",Languages!$A:$D,Summary!$C$7,TRUE),NA())</f>
        <v>Kehityskohde</v>
      </c>
      <c r="T21" s="287"/>
      <c r="U21" s="288"/>
    </row>
    <row r="22" spans="1:21" s="293" customFormat="1" ht="40.799999999999997" customHeight="1" x14ac:dyDescent="0.2">
      <c r="A22" s="279"/>
      <c r="B22" s="1204"/>
      <c r="C22" s="566">
        <v>1</v>
      </c>
      <c r="D22" s="400" t="s">
        <v>5</v>
      </c>
      <c r="E22" s="506" t="str">
        <f>IF(VLOOKUP(CONCATENATE($C$3,"-",$D22),Languages!$A:$D,1,TRUE)=CONCATENATE($C$3,"-",$D22),VLOOKUP(CONCATENATE($C$3,"-",$D22),Languages!$A:$D,Summary!$C$7,TRUE),NA())</f>
        <v>Organisaatiolla on kyberturvallisuusstrategia. Tasolla 1 sen kehittämisen ja ylläpidon ei tarvitse olla systemaattista ja säännöllistä.</v>
      </c>
      <c r="F22" s="401">
        <f t="shared" ref="F22:F29" si="0">IFERROR(INT(LEFT($G22,1)),0)</f>
        <v>0</v>
      </c>
      <c r="G22" s="496"/>
      <c r="H22" s="548"/>
      <c r="I22" s="548"/>
      <c r="J22" s="548"/>
      <c r="K22" s="549"/>
      <c r="L22" s="157"/>
      <c r="M22" s="256"/>
      <c r="N22" s="152"/>
      <c r="O22" s="985" t="str">
        <f>VLOOKUP(VLOOKUP($C$3&amp;"-"&amp;$D22,Import!$C:$D,2,FALSE),Parameters!$C$18:$F$22,Summary!$C$7,FALSE)</f>
        <v xml:space="preserve">0 - Vastaus puuttuu </v>
      </c>
      <c r="P22" s="986" t="str">
        <f>IF(VLOOKUP($C$3&amp;"-"&amp;$D22,Import!$C:$H,3,FALSE)=0,"",VLOOKUP($C$3&amp;"-"&amp;$D22,Import!$C:$H,3,FALSE))</f>
        <v/>
      </c>
      <c r="Q22" s="986" t="str">
        <f>IF(VLOOKUP($C$3&amp;"-"&amp;$D22,Import!$C:$H,4,FALSE)=0,"",VLOOKUP($C$3&amp;"-"&amp;$D22,Import!$C:$H,4,FALSE))</f>
        <v/>
      </c>
      <c r="R22" s="986" t="str">
        <f>IF(VLOOKUP($C$3&amp;"-"&amp;$D22,Import!$C:$H,5,FALSE)=0,"",VLOOKUP($C$3&amp;"-"&amp;$D22,Import!$C:$H,5,FALSE))</f>
        <v/>
      </c>
      <c r="S22" s="987" t="str">
        <f>IF(VLOOKUP($C$3&amp;"-"&amp;$D22,Import!$C:$H,6,FALSE)=0,"",VLOOKUP($C$3&amp;"-"&amp;$D22,Import!$C:$H,6,FALSE))</f>
        <v/>
      </c>
      <c r="T22" s="157"/>
      <c r="U22" s="256"/>
    </row>
    <row r="23" spans="1:21" s="293" customFormat="1" ht="34.950000000000003" customHeight="1" x14ac:dyDescent="0.2">
      <c r="A23" s="279"/>
      <c r="B23" s="1204"/>
      <c r="C23" s="1231">
        <v>2</v>
      </c>
      <c r="D23" s="397" t="s">
        <v>7</v>
      </c>
      <c r="E23" s="507" t="str">
        <f>IF(VLOOKUP(CONCATENATE($C$3,"-",$D23),Languages!$A:$D,1,TRUE)=CONCATENATE($C$3,"-",$D23),VLOOKUP(CONCATENATE($C$3,"-",$D23),Languages!$A:$D,Summary!$C$7,TRUE),NA())</f>
        <v>Kyberturvallisuusstrategia määrittelee organisaation kyberturvallisuustavoitteet.</v>
      </c>
      <c r="F23" s="396">
        <f t="shared" si="0"/>
        <v>0</v>
      </c>
      <c r="G23" s="485"/>
      <c r="H23" s="550"/>
      <c r="I23" s="550"/>
      <c r="J23" s="550"/>
      <c r="K23" s="551"/>
      <c r="L23" s="157"/>
      <c r="M23" s="256"/>
      <c r="N23" s="152"/>
      <c r="O23" s="988" t="str">
        <f>VLOOKUP(VLOOKUP($C$3&amp;"-"&amp;$D23,Import!$C:$D,2,FALSE),Parameters!$C$18:$F$22,Summary!$C$7,FALSE)</f>
        <v xml:space="preserve">0 - Vastaus puuttuu </v>
      </c>
      <c r="P23" s="989" t="str">
        <f>IF(VLOOKUP($C$3&amp;"-"&amp;$D23,Import!$C:$H,3,FALSE)=0,"",VLOOKUP($C$3&amp;"-"&amp;$D23,Import!$C:$H,3,FALSE))</f>
        <v/>
      </c>
      <c r="Q23" s="989" t="str">
        <f>IF(VLOOKUP($C$3&amp;"-"&amp;$D23,Import!$C:$H,4,FALSE)=0,"",VLOOKUP($C$3&amp;"-"&amp;$D23,Import!$C:$H,4,FALSE))</f>
        <v/>
      </c>
      <c r="R23" s="989" t="str">
        <f>IF(VLOOKUP($C$3&amp;"-"&amp;$D23,Import!$C:$H,5,FALSE)=0,"",VLOOKUP($C$3&amp;"-"&amp;$D23,Import!$C:$H,5,FALSE))</f>
        <v/>
      </c>
      <c r="S23" s="990" t="str">
        <f>IF(VLOOKUP($C$3&amp;"-"&amp;$D23,Import!$C:$H,6,FALSE)=0,"",VLOOKUP($C$3&amp;"-"&amp;$D23,Import!$C:$H,6,FALSE))</f>
        <v/>
      </c>
      <c r="T23" s="157"/>
      <c r="U23" s="256"/>
    </row>
    <row r="24" spans="1:21" s="293" customFormat="1" ht="57" customHeight="1" x14ac:dyDescent="0.2">
      <c r="A24" s="279"/>
      <c r="B24" s="1204"/>
      <c r="C24" s="1232"/>
      <c r="D24" s="290" t="s">
        <v>8</v>
      </c>
      <c r="E24" s="508" t="str">
        <f>IF(VLOOKUP(CONCATENATE($C$3,"-",$D24),Languages!$A:$D,1,TRUE)=CONCATENATE($C$3,"-",$D24),VLOOKUP(CONCATENATE($C$3,"-",$D24),Languages!$A:$D,Summary!$C$7,TRUE),NA())</f>
        <v>Kyberturvallisuusstrategia ja -prioriteetit on dokumentoitu. Strategia ja prioriteetit ovat linjassa organisaation yleisten strategisten tavoitteiden ja kriittiseen infrastruktuuriin kohdistuvien riskien kanssa.</v>
      </c>
      <c r="F24" s="291">
        <f t="shared" si="0"/>
        <v>0</v>
      </c>
      <c r="G24" s="311"/>
      <c r="H24" s="552"/>
      <c r="I24" s="552"/>
      <c r="J24" s="552"/>
      <c r="K24" s="553"/>
      <c r="L24" s="157"/>
      <c r="M24" s="256"/>
      <c r="N24" s="152"/>
      <c r="O24" s="991" t="str">
        <f>VLOOKUP(VLOOKUP($C$3&amp;"-"&amp;$D24,Import!$C:$D,2,FALSE),Parameters!$C$18:$F$22,Summary!$C$7,FALSE)</f>
        <v xml:space="preserve">0 - Vastaus puuttuu </v>
      </c>
      <c r="P24" s="992" t="str">
        <f>IF(VLOOKUP($C$3&amp;"-"&amp;$D24,Import!$C:$H,3,FALSE)=0,"",VLOOKUP($C$3&amp;"-"&amp;$D24,Import!$C:$H,3,FALSE))</f>
        <v/>
      </c>
      <c r="Q24" s="992" t="str">
        <f>IF(VLOOKUP($C$3&amp;"-"&amp;$D24,Import!$C:$H,4,FALSE)=0,"",VLOOKUP($C$3&amp;"-"&amp;$D24,Import!$C:$H,4,FALSE))</f>
        <v/>
      </c>
      <c r="R24" s="992" t="str">
        <f>IF(VLOOKUP($C$3&amp;"-"&amp;$D24,Import!$C:$H,5,FALSE)=0,"",VLOOKUP($C$3&amp;"-"&amp;$D24,Import!$C:$H,5,FALSE))</f>
        <v/>
      </c>
      <c r="S24" s="993" t="str">
        <f>IF(VLOOKUP($C$3&amp;"-"&amp;$D24,Import!$C:$H,6,FALSE)=0,"",VLOOKUP($C$3&amp;"-"&amp;$D24,Import!$C:$H,6,FALSE))</f>
        <v/>
      </c>
      <c r="T24" s="157"/>
      <c r="U24" s="256"/>
    </row>
    <row r="25" spans="1:21" s="293" customFormat="1" ht="42" customHeight="1" x14ac:dyDescent="0.2">
      <c r="A25" s="279"/>
      <c r="B25" s="1204"/>
      <c r="C25" s="1232"/>
      <c r="D25" s="290" t="s">
        <v>9</v>
      </c>
      <c r="E25" s="509" t="str">
        <f>IF(VLOOKUP(CONCATENATE($C$3,"-",$D25),Languages!$A:$D,1,TRUE)=CONCATENATE($C$3,"-",$D25),VLOOKUP(CONCATENATE($C$3,"-",$D25),Languages!$A:$D,Summary!$C$7,TRUE),NA())</f>
        <v>Kyberturvallisuusstrategia määrittää organisaation kyberturvallisuuden hallintamallin ("governance") ja valvontatoimet.</v>
      </c>
      <c r="F25" s="291">
        <f t="shared" si="0"/>
        <v>0</v>
      </c>
      <c r="G25" s="311"/>
      <c r="H25" s="552"/>
      <c r="I25" s="552"/>
      <c r="J25" s="552"/>
      <c r="K25" s="553"/>
      <c r="L25" s="157"/>
      <c r="M25" s="256"/>
      <c r="N25" s="152"/>
      <c r="O25" s="991" t="str">
        <f>VLOOKUP(VLOOKUP($C$3&amp;"-"&amp;$D25,Import!$C:$D,2,FALSE),Parameters!$C$18:$F$22,Summary!$C$7,FALSE)</f>
        <v xml:space="preserve">0 - Vastaus puuttuu </v>
      </c>
      <c r="P25" s="992" t="str">
        <f>IF(VLOOKUP($C$3&amp;"-"&amp;$D25,Import!$C:$H,3,FALSE)=0,"",VLOOKUP($C$3&amp;"-"&amp;$D25,Import!$C:$H,3,FALSE))</f>
        <v/>
      </c>
      <c r="Q25" s="992" t="str">
        <f>IF(VLOOKUP($C$3&amp;"-"&amp;$D25,Import!$C:$H,4,FALSE)=0,"",VLOOKUP($C$3&amp;"-"&amp;$D25,Import!$C:$H,4,FALSE))</f>
        <v/>
      </c>
      <c r="R25" s="992" t="str">
        <f>IF(VLOOKUP($C$3&amp;"-"&amp;$D25,Import!$C:$H,5,FALSE)=0,"",VLOOKUP($C$3&amp;"-"&amp;$D25,Import!$C:$H,5,FALSE))</f>
        <v/>
      </c>
      <c r="S25" s="993" t="str">
        <f>IF(VLOOKUP($C$3&amp;"-"&amp;$D25,Import!$C:$H,6,FALSE)=0,"",VLOOKUP($C$3&amp;"-"&amp;$D25,Import!$C:$H,6,FALSE))</f>
        <v/>
      </c>
      <c r="T25" s="157"/>
      <c r="U25" s="256"/>
    </row>
    <row r="26" spans="1:21" s="293" customFormat="1" ht="34.950000000000003" customHeight="1" x14ac:dyDescent="0.2">
      <c r="A26" s="279"/>
      <c r="B26" s="1204"/>
      <c r="C26" s="1232"/>
      <c r="D26" s="294" t="s">
        <v>10</v>
      </c>
      <c r="E26" s="509" t="str">
        <f>IF(VLOOKUP(CONCATENATE($C$3,"-",$D26),Languages!$A:$D,1,TRUE)=CONCATENATE($C$3,"-",$D26),VLOOKUP(CONCATENATE($C$3,"-",$D26),Languages!$A:$D,Summary!$C$7,TRUE),NA())</f>
        <v>Kyberturvallisuusstrategia määrittelee kyberturvallisuuden hallinta- ja organisaatiorakenteen.</v>
      </c>
      <c r="F26" s="291">
        <f t="shared" si="0"/>
        <v>0</v>
      </c>
      <c r="G26" s="311"/>
      <c r="H26" s="554"/>
      <c r="I26" s="554"/>
      <c r="J26" s="554"/>
      <c r="K26" s="555"/>
      <c r="L26" s="157"/>
      <c r="M26" s="256"/>
      <c r="N26" s="152"/>
      <c r="O26" s="991" t="str">
        <f>VLOOKUP(VLOOKUP($C$3&amp;"-"&amp;$D26,Import!$C:$D,2,FALSE),Parameters!$C$18:$F$22,Summary!$C$7,FALSE)</f>
        <v xml:space="preserve">0 - Vastaus puuttuu </v>
      </c>
      <c r="P26" s="994" t="str">
        <f>IF(VLOOKUP($C$3&amp;"-"&amp;$D26,Import!$C:$H,3,FALSE)=0,"",VLOOKUP($C$3&amp;"-"&amp;$D26,Import!$C:$H,3,FALSE))</f>
        <v/>
      </c>
      <c r="Q26" s="994" t="str">
        <f>IF(VLOOKUP($C$3&amp;"-"&amp;$D26,Import!$C:$H,4,FALSE)=0,"",VLOOKUP($C$3&amp;"-"&amp;$D26,Import!$C:$H,4,FALSE))</f>
        <v/>
      </c>
      <c r="R26" s="994" t="str">
        <f>IF(VLOOKUP($C$3&amp;"-"&amp;$D26,Import!$C:$H,5,FALSE)=0,"",VLOOKUP($C$3&amp;"-"&amp;$D26,Import!$C:$H,5,FALSE))</f>
        <v/>
      </c>
      <c r="S26" s="995" t="str">
        <f>IF(VLOOKUP($C$3&amp;"-"&amp;$D26,Import!$C:$H,6,FALSE)=0,"",VLOOKUP($C$3&amp;"-"&amp;$D26,Import!$C:$H,6,FALSE))</f>
        <v/>
      </c>
      <c r="T26" s="157"/>
      <c r="U26" s="256"/>
    </row>
    <row r="27" spans="1:21" s="293" customFormat="1" ht="34.950000000000003" customHeight="1" x14ac:dyDescent="0.2">
      <c r="A27" s="279"/>
      <c r="B27" s="1204"/>
      <c r="C27" s="1232"/>
      <c r="D27" s="294" t="s">
        <v>11</v>
      </c>
      <c r="E27" s="509" t="str">
        <f>IF(VLOOKUP(CONCATENATE($C$3,"-",$D27),Languages!$A:$D,1,TRUE)=CONCATENATE($C$3,"-",$D27),VLOOKUP(CONCATENATE($C$3,"-",$D27),Languages!$A:$D,Summary!$C$7,TRUE),NA())</f>
        <v>Kyberturvallisuusstrategia nimeää ne standardit ja ohjeet, joita tulee noudattaa.</v>
      </c>
      <c r="F27" s="291">
        <f t="shared" si="0"/>
        <v>0</v>
      </c>
      <c r="G27" s="311"/>
      <c r="H27" s="554"/>
      <c r="I27" s="554"/>
      <c r="J27" s="554"/>
      <c r="K27" s="555"/>
      <c r="L27" s="157"/>
      <c r="M27" s="256"/>
      <c r="N27" s="152"/>
      <c r="O27" s="991" t="str">
        <f>VLOOKUP(VLOOKUP($C$3&amp;"-"&amp;$D27,Import!$C:$D,2,FALSE),Parameters!$C$18:$F$22,Summary!$C$7,FALSE)</f>
        <v xml:space="preserve">0 - Vastaus puuttuu </v>
      </c>
      <c r="P27" s="994" t="str">
        <f>IF(VLOOKUP($C$3&amp;"-"&amp;$D27,Import!$C:$H,3,FALSE)=0,"",VLOOKUP($C$3&amp;"-"&amp;$D27,Import!$C:$H,3,FALSE))</f>
        <v/>
      </c>
      <c r="Q27" s="994" t="str">
        <f>IF(VLOOKUP($C$3&amp;"-"&amp;$D27,Import!$C:$H,4,FALSE)=0,"",VLOOKUP($C$3&amp;"-"&amp;$D27,Import!$C:$H,4,FALSE))</f>
        <v/>
      </c>
      <c r="R27" s="994" t="str">
        <f>IF(VLOOKUP($C$3&amp;"-"&amp;$D27,Import!$C:$H,5,FALSE)=0,"",VLOOKUP($C$3&amp;"-"&amp;$D27,Import!$C:$H,5,FALSE))</f>
        <v/>
      </c>
      <c r="S27" s="995" t="str">
        <f>IF(VLOOKUP($C$3&amp;"-"&amp;$D27,Import!$C:$H,6,FALSE)=0,"",VLOOKUP($C$3&amp;"-"&amp;$D27,Import!$C:$H,6,FALSE))</f>
        <v/>
      </c>
      <c r="T27" s="157"/>
      <c r="U27" s="256"/>
    </row>
    <row r="28" spans="1:21" s="293" customFormat="1" ht="70.5" customHeight="1" x14ac:dyDescent="0.2">
      <c r="A28" s="279"/>
      <c r="B28" s="331"/>
      <c r="C28" s="1233"/>
      <c r="D28" s="402" t="s">
        <v>12</v>
      </c>
      <c r="E28" s="512" t="str">
        <f>IF(VLOOKUP(CONCATENATE($C$3,"-",$D28),Languages!$A:$D,1,TRUE)=CONCATENATE($C$3,"-",$D28),VLOOKUP(CONCATENATE($C$3,"-",$D28),Languages!$A:$D,Summary!$C$7,TRUE),NA())</f>
        <v>Kyberturvallisuusstrategia nimeää soveltuvin osin kaikki olennaiset vaatimustenmukaisuusvaatimukset (esimerkiksi NIST, ISO, PCI DSS), joita tulee noudattaa.</v>
      </c>
      <c r="F28" s="403">
        <f t="shared" si="0"/>
        <v>0</v>
      </c>
      <c r="G28" s="489"/>
      <c r="H28" s="556"/>
      <c r="I28" s="556"/>
      <c r="J28" s="556"/>
      <c r="K28" s="557"/>
      <c r="L28" s="157"/>
      <c r="M28" s="256"/>
      <c r="N28" s="152"/>
      <c r="O28" s="996" t="str">
        <f>VLOOKUP(VLOOKUP($C$3&amp;"-"&amp;$D28,Import!$C:$D,2,FALSE),Parameters!$C$18:$F$22,Summary!$C$7,FALSE)</f>
        <v xml:space="preserve">0 - Vastaus puuttuu </v>
      </c>
      <c r="P28" s="997" t="str">
        <f>IF(VLOOKUP($C$3&amp;"-"&amp;$D28,Import!$C:$H,3,FALSE)=0,"",VLOOKUP($C$3&amp;"-"&amp;$D28,Import!$C:$H,3,FALSE))</f>
        <v/>
      </c>
      <c r="Q28" s="997" t="str">
        <f>IF(VLOOKUP($C$3&amp;"-"&amp;$D28,Import!$C:$H,4,FALSE)=0,"",VLOOKUP($C$3&amp;"-"&amp;$D28,Import!$C:$H,4,FALSE))</f>
        <v/>
      </c>
      <c r="R28" s="997" t="str">
        <f>IF(VLOOKUP($C$3&amp;"-"&amp;$D28,Import!$C:$H,5,FALSE)=0,"",VLOOKUP($C$3&amp;"-"&amp;$D28,Import!$C:$H,5,FALSE))</f>
        <v/>
      </c>
      <c r="S28" s="998" t="str">
        <f>IF(VLOOKUP($C$3&amp;"-"&amp;$D28,Import!$C:$H,6,FALSE)=0,"",VLOOKUP($C$3&amp;"-"&amp;$D28,Import!$C:$H,6,FALSE))</f>
        <v/>
      </c>
      <c r="T28" s="157"/>
      <c r="U28" s="256"/>
    </row>
    <row r="29" spans="1:21" s="293" customFormat="1" ht="45" customHeight="1" x14ac:dyDescent="0.2">
      <c r="A29" s="279"/>
      <c r="B29" s="332"/>
      <c r="C29" s="572">
        <v>3</v>
      </c>
      <c r="D29" s="425" t="s">
        <v>13</v>
      </c>
      <c r="E29" s="538" t="str">
        <f>IF(VLOOKUP(CONCATENATE($C$3,"-",$D29),Languages!$A:$D,1,TRUE)=CONCATENATE($C$3,"-",$D29),VLOOKUP(CONCATENATE($C$3,"-",$D29),Languages!$A:$D,Summary!$C$7,TRUE),NA())</f>
        <v>Kyberturvallisuusstrategia päivitetään vastaamaan muutoksia organisaation liiketoiminnassa, toimintaympäristössä tai uhkaprofiilissa [kts. THREAT-2d].</v>
      </c>
      <c r="F29" s="401">
        <f t="shared" si="0"/>
        <v>0</v>
      </c>
      <c r="G29" s="496"/>
      <c r="H29" s="558"/>
      <c r="I29" s="558"/>
      <c r="J29" s="558"/>
      <c r="K29" s="559"/>
      <c r="L29" s="157"/>
      <c r="M29" s="256"/>
      <c r="N29" s="152"/>
      <c r="O29" s="985" t="str">
        <f>VLOOKUP(VLOOKUP($C$3&amp;"-"&amp;$D29,Import!$C:$D,2,FALSE),Parameters!$C$18:$F$22,Summary!$C$7,FALSE)</f>
        <v xml:space="preserve">0 - Vastaus puuttuu </v>
      </c>
      <c r="P29" s="999" t="str">
        <f>IF(VLOOKUP($C$3&amp;"-"&amp;$D29,Import!$C:$H,3,FALSE)=0,"",VLOOKUP($C$3&amp;"-"&amp;$D29,Import!$C:$H,3,FALSE))</f>
        <v/>
      </c>
      <c r="Q29" s="999" t="str">
        <f>IF(VLOOKUP($C$3&amp;"-"&amp;$D29,Import!$C:$H,4,FALSE)=0,"",VLOOKUP($C$3&amp;"-"&amp;$D29,Import!$C:$H,4,FALSE))</f>
        <v/>
      </c>
      <c r="R29" s="999" t="str">
        <f>IF(VLOOKUP($C$3&amp;"-"&amp;$D29,Import!$C:$H,5,FALSE)=0,"",VLOOKUP($C$3&amp;"-"&amp;$D29,Import!$C:$H,5,FALSE))</f>
        <v/>
      </c>
      <c r="S29" s="1000" t="str">
        <f>IF(VLOOKUP($C$3&amp;"-"&amp;$D29,Import!$C:$H,6,FALSE)=0,"",VLOOKUP($C$3&amp;"-"&amp;$D29,Import!$C:$H,6,FALSE))</f>
        <v/>
      </c>
      <c r="T29" s="157"/>
      <c r="U29" s="256"/>
    </row>
    <row r="30" spans="1:21" s="180" customFormat="1" ht="30" customHeight="1" thickBot="1" x14ac:dyDescent="0.3">
      <c r="A30" s="169"/>
      <c r="B30" s="273"/>
      <c r="C30" s="349">
        <v>2</v>
      </c>
      <c r="D30" s="349" t="str">
        <f>IF(VLOOKUP(CONCATENATE($C$3,"-",C30),Languages!$A:$D,1,TRUE)=CONCATENATE($C$3,"-",C30),VLOOKUP(CONCATENATE($C$3,"-",C30),Languages!$A:$D,Summary!$C$7,TRUE),NA())</f>
        <v>Johdon tuki kyberturvallisuusohjelmalle</v>
      </c>
      <c r="E30" s="349"/>
      <c r="F30" s="350"/>
      <c r="G30" s="1005"/>
      <c r="H30" s="1005"/>
      <c r="I30" s="1005"/>
      <c r="J30" s="1005"/>
      <c r="K30" s="1005"/>
      <c r="L30" s="157"/>
      <c r="M30" s="256"/>
      <c r="N30" s="152"/>
      <c r="O30" s="350"/>
      <c r="P30" s="350"/>
      <c r="Q30" s="350"/>
      <c r="R30" s="350"/>
      <c r="S30" s="350"/>
      <c r="T30" s="157"/>
      <c r="U30" s="256"/>
    </row>
    <row r="31" spans="1:21" s="289" customFormat="1" ht="19.95" customHeight="1" x14ac:dyDescent="0.2">
      <c r="A31" s="308"/>
      <c r="B31" s="283"/>
      <c r="C31" s="284" t="str">
        <f>IF(VLOOKUP("GEN-LEVEL",Languages!$A:$D,1,TRUE)="GEN-LEVEL",VLOOKUP("GEN-LEVEL",Languages!$A:$D,Summary!$C$7,TRUE),NA())</f>
        <v>Taso</v>
      </c>
      <c r="D31" s="284"/>
      <c r="E31" s="285" t="str">
        <f>IF(VLOOKUP("GEN-PRACTICE",Languages!$A:$D,1,TRUE)="GEN-PRACTICE",VLOOKUP("GEN-PRACTICE",Languages!$A:$D,Summary!$C$7,TRUE),NA())</f>
        <v>Käytäntö</v>
      </c>
      <c r="F31" s="286"/>
      <c r="G31" s="1003" t="str">
        <f>IF(VLOOKUP("GEN-ANSWER",Languages!$A:$D,1,TRUE)="GEN-ANSWER",VLOOKUP("GEN-ANSWER",Languages!$A:$D,Summary!$C$7,TRUE),NA())</f>
        <v>Vastaus</v>
      </c>
      <c r="H31" s="1004" t="str">
        <f>IF(VLOOKUP("KM112",Languages!$A:$D,1,TRUE)="KM112",VLOOKUP("KM112",Languages!$A:$D,Summary!$C$7,TRUE),NA())</f>
        <v>Kommentit</v>
      </c>
      <c r="I31" s="1004" t="str">
        <f>IF(VLOOKUP("KM113",Languages!$A:$D,1,TRUE)="KM113",VLOOKUP("KM113",Languages!$A:$D,Summary!$C$7,TRUE),NA())</f>
        <v>Sisäinen viittaus</v>
      </c>
      <c r="J31" s="1004" t="str">
        <f>IF(VLOOKUP("KM114",Languages!$A:$D,1,TRUE)="KM114",VLOOKUP("KM114",Languages!$A:$D,Summary!$C$7,TRUE),NA())</f>
        <v>Ulkoinen viittaus</v>
      </c>
      <c r="K31" s="1004" t="str">
        <f>IF(VLOOKUP("KM115",Languages!$A:$D,1,TRUE)="KM115",VLOOKUP("KM115",Languages!$A:$D,Summary!$C$7,TRUE),NA())</f>
        <v>Kehityskohde</v>
      </c>
      <c r="L31" s="287"/>
      <c r="M31" s="288"/>
      <c r="N31" s="283"/>
      <c r="O31" s="503" t="str">
        <f>IF(VLOOKUP("GEN-ANSWER",Languages!$A:$D,1,TRUE)="GEN-ANSWER",VLOOKUP("GEN-ANSWER",Languages!$A:$D,Summary!$C$7,TRUE),NA())</f>
        <v>Vastaus</v>
      </c>
      <c r="P31" s="503" t="str">
        <f>IF(VLOOKUP("KM112",Languages!$A:$D,1,TRUE)="KM112",VLOOKUP("KM112",Languages!$A:$D,Summary!$C$7,TRUE),NA())</f>
        <v>Kommentit</v>
      </c>
      <c r="Q31" s="503" t="str">
        <f>IF(VLOOKUP("KM113",Languages!$A:$D,1,TRUE)="KM113",VLOOKUP("KM113",Languages!$A:$D,Summary!$C$7,TRUE),NA())</f>
        <v>Sisäinen viittaus</v>
      </c>
      <c r="R31" s="503" t="str">
        <f>IF(VLOOKUP("KM114",Languages!$A:$D,1,TRUE)="KM114",VLOOKUP("KM114",Languages!$A:$D,Summary!$C$7,TRUE),NA())</f>
        <v>Ulkoinen viittaus</v>
      </c>
      <c r="S31" s="503" t="str">
        <f>IF(VLOOKUP("KM115",Languages!$A:$D,1,TRUE)="KM115",VLOOKUP("KM115",Languages!$A:$D,Summary!$C$7,TRUE),NA())</f>
        <v>Kehityskohde</v>
      </c>
      <c r="T31" s="287"/>
      <c r="U31" s="288"/>
    </row>
    <row r="32" spans="1:21" s="300" customFormat="1" ht="45" customHeight="1" x14ac:dyDescent="0.2">
      <c r="A32" s="309"/>
      <c r="B32" s="1213"/>
      <c r="C32" s="1229">
        <v>1</v>
      </c>
      <c r="D32" s="406" t="s">
        <v>17</v>
      </c>
      <c r="E32" s="507" t="str">
        <f>IF(VLOOKUP(CONCATENATE($C$3,"-",$D32),Languages!$A:$D,1,TRUE)=CONCATENATE($C$3,"-",$D32),VLOOKUP(CONCATENATE($C$3,"-",$D32),Languages!$A:$D,Summary!$C$7,TRUE),NA())</f>
        <v>Resurssit (henkilöt, rahoitus ja työkalut) on osoitettu kyberturvallisuuden hallinnan perustamiseen. Tasolla 1 tämän ei tarvitse olla systemaattista ja säännöllistä.</v>
      </c>
      <c r="F32" s="396">
        <f t="shared" ref="F32:F43" si="1">IFERROR(INT(LEFT($G32,1)),0)</f>
        <v>0</v>
      </c>
      <c r="G32" s="485"/>
      <c r="H32" s="550"/>
      <c r="I32" s="550"/>
      <c r="J32" s="550"/>
      <c r="K32" s="551"/>
      <c r="L32" s="157"/>
      <c r="M32" s="256"/>
      <c r="N32" s="152"/>
      <c r="O32" s="988" t="str">
        <f>VLOOKUP(VLOOKUP($C$3&amp;"-"&amp;$D32,Import!$C:$D,2,FALSE),Parameters!$C$18:$F$22,Summary!$C$7,FALSE)</f>
        <v xml:space="preserve">0 - Vastaus puuttuu </v>
      </c>
      <c r="P32" s="989" t="str">
        <f>IF(VLOOKUP($C$3&amp;"-"&amp;$D32,Import!$C:$H,3,FALSE)=0,"",VLOOKUP($C$3&amp;"-"&amp;$D32,Import!$C:$H,3,FALSE))</f>
        <v/>
      </c>
      <c r="Q32" s="989" t="str">
        <f>IF(VLOOKUP($C$3&amp;"-"&amp;$D32,Import!$C:$H,4,FALSE)=0,"",VLOOKUP($C$3&amp;"-"&amp;$D32,Import!$C:$H,4,FALSE))</f>
        <v/>
      </c>
      <c r="R32" s="989" t="str">
        <f>IF(VLOOKUP($C$3&amp;"-"&amp;$D32,Import!$C:$H,5,FALSE)=0,"",VLOOKUP($C$3&amp;"-"&amp;$D32,Import!$C:$H,5,FALSE))</f>
        <v/>
      </c>
      <c r="S32" s="990" t="str">
        <f>IF(VLOOKUP($C$3&amp;"-"&amp;$D32,Import!$C:$H,6,FALSE)=0,"",VLOOKUP($C$3&amp;"-"&amp;$D32,Import!$C:$H,6,FALSE))</f>
        <v/>
      </c>
      <c r="T32" s="157"/>
      <c r="U32" s="256"/>
    </row>
    <row r="33" spans="1:21" s="300" customFormat="1" ht="34.950000000000003" customHeight="1" x14ac:dyDescent="0.2">
      <c r="A33" s="309"/>
      <c r="B33" s="1213"/>
      <c r="C33" s="1230"/>
      <c r="D33" s="407" t="s">
        <v>18</v>
      </c>
      <c r="E33" s="514" t="str">
        <f>IF(VLOOKUP(CONCATENATE($C$3,"-",$D33),Languages!$A:$D,1,TRUE)=CONCATENATE($C$3,"-",$D33),VLOOKUP(CONCATENATE($C$3,"-",$D33),Languages!$A:$D,Summary!$C$7,TRUE),NA())</f>
        <v>Organisaation ylin johto tukee kyberturvallisuuden hallintaa. Tasolla 1 tämän ei tarvitse olla systemaattista ja säännöllistä.</v>
      </c>
      <c r="F33" s="403">
        <f t="shared" si="1"/>
        <v>0</v>
      </c>
      <c r="G33" s="489"/>
      <c r="H33" s="556"/>
      <c r="I33" s="556"/>
      <c r="J33" s="556"/>
      <c r="K33" s="557"/>
      <c r="L33" s="157"/>
      <c r="M33" s="256"/>
      <c r="N33" s="152"/>
      <c r="O33" s="996" t="str">
        <f>VLOOKUP(VLOOKUP($C$3&amp;"-"&amp;$D33,Import!$C:$D,2,FALSE),Parameters!$C$18:$F$22,Summary!$C$7,FALSE)</f>
        <v xml:space="preserve">0 - Vastaus puuttuu </v>
      </c>
      <c r="P33" s="997" t="str">
        <f>IF(VLOOKUP($C$3&amp;"-"&amp;$D33,Import!$C:$H,3,FALSE)=0,"",VLOOKUP($C$3&amp;"-"&amp;$D33,Import!$C:$H,3,FALSE))</f>
        <v/>
      </c>
      <c r="Q33" s="997" t="str">
        <f>IF(VLOOKUP($C$3&amp;"-"&amp;$D33,Import!$C:$H,4,FALSE)=0,"",VLOOKUP($C$3&amp;"-"&amp;$D33,Import!$C:$H,4,FALSE))</f>
        <v/>
      </c>
      <c r="R33" s="997" t="str">
        <f>IF(VLOOKUP($C$3&amp;"-"&amp;$D33,Import!$C:$H,5,FALSE)=0,"",VLOOKUP($C$3&amp;"-"&amp;$D33,Import!$C:$H,5,FALSE))</f>
        <v/>
      </c>
      <c r="S33" s="998" t="str">
        <f>IF(VLOOKUP($C$3&amp;"-"&amp;$D33,Import!$C:$H,6,FALSE)=0,"",VLOOKUP($C$3&amp;"-"&amp;$D33,Import!$C:$H,6,FALSE))</f>
        <v/>
      </c>
      <c r="T33" s="157"/>
      <c r="U33" s="256"/>
    </row>
    <row r="34" spans="1:21" s="300" customFormat="1" ht="34.950000000000003" customHeight="1" x14ac:dyDescent="0.2">
      <c r="A34" s="309"/>
      <c r="B34" s="1213"/>
      <c r="C34" s="1224">
        <v>2</v>
      </c>
      <c r="D34" s="406" t="s">
        <v>19</v>
      </c>
      <c r="E34" s="507" t="str">
        <f>IF(VLOOKUP(CONCATENATE($C$3,"-",$D34),Languages!$A:$D,1,TRUE)=CONCATENATE($C$3,"-",$D34),VLOOKUP(CONCATENATE($C$3,"-",$D34),Languages!$A:$D,Summary!$C$7,TRUE),NA())</f>
        <v>Kyberturvallisuuden hallinta perustuu kyberturvallisuusstrategiaan.</v>
      </c>
      <c r="F34" s="396">
        <f t="shared" si="1"/>
        <v>0</v>
      </c>
      <c r="G34" s="485"/>
      <c r="H34" s="560"/>
      <c r="I34" s="560"/>
      <c r="J34" s="560"/>
      <c r="K34" s="561"/>
      <c r="L34" s="157"/>
      <c r="M34" s="256"/>
      <c r="N34" s="152"/>
      <c r="O34" s="988" t="str">
        <f>VLOOKUP(VLOOKUP($C$3&amp;"-"&amp;$D34,Import!$C:$D,2,FALSE),Parameters!$C$18:$F$22,Summary!$C$7,FALSE)</f>
        <v xml:space="preserve">0 - Vastaus puuttuu </v>
      </c>
      <c r="P34" s="1001" t="str">
        <f>IF(VLOOKUP($C$3&amp;"-"&amp;$D34,Import!$C:$H,3,FALSE)=0,"",VLOOKUP($C$3&amp;"-"&amp;$D34,Import!$C:$H,3,FALSE))</f>
        <v/>
      </c>
      <c r="Q34" s="1001" t="str">
        <f>IF(VLOOKUP($C$3&amp;"-"&amp;$D34,Import!$C:$H,4,FALSE)=0,"",VLOOKUP($C$3&amp;"-"&amp;$D34,Import!$C:$H,4,FALSE))</f>
        <v/>
      </c>
      <c r="R34" s="1001" t="str">
        <f>IF(VLOOKUP($C$3&amp;"-"&amp;$D34,Import!$C:$H,5,FALSE)=0,"",VLOOKUP($C$3&amp;"-"&amp;$D34,Import!$C:$H,5,FALSE))</f>
        <v/>
      </c>
      <c r="S34" s="1002" t="str">
        <f>IF(VLOOKUP($C$3&amp;"-"&amp;$D34,Import!$C:$H,6,FALSE)=0,"",VLOOKUP($C$3&amp;"-"&amp;$D34,Import!$C:$H,6,FALSE))</f>
        <v/>
      </c>
      <c r="T34" s="157"/>
      <c r="U34" s="256"/>
    </row>
    <row r="35" spans="1:21" s="300" customFormat="1" ht="40.200000000000003" customHeight="1" x14ac:dyDescent="0.2">
      <c r="A35" s="309"/>
      <c r="B35" s="1213"/>
      <c r="C35" s="1237"/>
      <c r="D35" s="298" t="s">
        <v>20</v>
      </c>
      <c r="E35" s="508" t="str">
        <f>IF(VLOOKUP(CONCATENATE($C$3,"-",$D35),Languages!$A:$D,1,TRUE)=CONCATENATE($C$3,"-",$D35),VLOOKUP(CONCATENATE($C$3,"-",$D35),Languages!$A:$D,Summary!$C$7,TRUE),NA())</f>
        <v>Riittävät resurssit (henkilöt, rahoitus ja työkalut) on osoitettu kyberturvallisuusstrategian mukaisen kyberturvallisuuden hallinnan toteuttamiseen.</v>
      </c>
      <c r="F35" s="291">
        <f t="shared" si="1"/>
        <v>0</v>
      </c>
      <c r="G35" s="311"/>
      <c r="H35" s="554"/>
      <c r="I35" s="554"/>
      <c r="J35" s="554"/>
      <c r="K35" s="555"/>
      <c r="L35" s="157"/>
      <c r="M35" s="256"/>
      <c r="N35" s="152"/>
      <c r="O35" s="991" t="str">
        <f>VLOOKUP(VLOOKUP($C$3&amp;"-"&amp;$D35,Import!$C:$D,2,FALSE),Parameters!$C$18:$F$22,Summary!$C$7,FALSE)</f>
        <v xml:space="preserve">0 - Vastaus puuttuu </v>
      </c>
      <c r="P35" s="994" t="str">
        <f>IF(VLOOKUP($C$3&amp;"-"&amp;$D35,Import!$C:$H,3,FALSE)=0,"",VLOOKUP($C$3&amp;"-"&amp;$D35,Import!$C:$H,3,FALSE))</f>
        <v/>
      </c>
      <c r="Q35" s="994" t="str">
        <f>IF(VLOOKUP($C$3&amp;"-"&amp;$D35,Import!$C:$H,4,FALSE)=0,"",VLOOKUP($C$3&amp;"-"&amp;$D35,Import!$C:$H,4,FALSE))</f>
        <v/>
      </c>
      <c r="R35" s="994" t="str">
        <f>IF(VLOOKUP($C$3&amp;"-"&amp;$D35,Import!$C:$H,5,FALSE)=0,"",VLOOKUP($C$3&amp;"-"&amp;$D35,Import!$C:$H,5,FALSE))</f>
        <v/>
      </c>
      <c r="S35" s="995" t="str">
        <f>IF(VLOOKUP($C$3&amp;"-"&amp;$D35,Import!$C:$H,6,FALSE)=0,"",VLOOKUP($C$3&amp;"-"&amp;$D35,Import!$C:$H,6,FALSE))</f>
        <v/>
      </c>
      <c r="T35" s="157"/>
      <c r="U35" s="256"/>
    </row>
    <row r="36" spans="1:21" s="300" customFormat="1" ht="34.950000000000003" customHeight="1" x14ac:dyDescent="0.2">
      <c r="A36" s="309"/>
      <c r="B36" s="1213"/>
      <c r="C36" s="1237"/>
      <c r="D36" s="298" t="s">
        <v>21</v>
      </c>
      <c r="E36" s="508" t="str">
        <f>IF(VLOOKUP(CONCATENATE($C$3,"-",$D36),Languages!$A:$D,1,TRUE)=CONCATENATE($C$3,"-",$D36),VLOOKUP(CONCATENATE($C$3,"-",$D36),Languages!$A:$D,Summary!$C$7,TRUE),NA())</f>
        <v>Organisaation ylimmän johdon tuki kyberturvallisuuden hallinnalle  on näkyvää ja aktiivista.</v>
      </c>
      <c r="F36" s="291">
        <f t="shared" si="1"/>
        <v>0</v>
      </c>
      <c r="G36" s="311"/>
      <c r="H36" s="554"/>
      <c r="I36" s="554"/>
      <c r="J36" s="554"/>
      <c r="K36" s="555"/>
      <c r="L36" s="157"/>
      <c r="M36" s="256"/>
      <c r="N36" s="152"/>
      <c r="O36" s="991" t="str">
        <f>VLOOKUP(VLOOKUP($C$3&amp;"-"&amp;$D36,Import!$C:$D,2,FALSE),Parameters!$C$18:$F$22,Summary!$C$7,FALSE)</f>
        <v xml:space="preserve">0 - Vastaus puuttuu </v>
      </c>
      <c r="P36" s="994" t="str">
        <f>IF(VLOOKUP($C$3&amp;"-"&amp;$D36,Import!$C:$H,3,FALSE)=0,"",VLOOKUP($C$3&amp;"-"&amp;$D36,Import!$C:$H,3,FALSE))</f>
        <v/>
      </c>
      <c r="Q36" s="994" t="str">
        <f>IF(VLOOKUP($C$3&amp;"-"&amp;$D36,Import!$C:$H,4,FALSE)=0,"",VLOOKUP($C$3&amp;"-"&amp;$D36,Import!$C:$H,4,FALSE))</f>
        <v/>
      </c>
      <c r="R36" s="994" t="str">
        <f>IF(VLOOKUP($C$3&amp;"-"&amp;$D36,Import!$C:$H,5,FALSE)=0,"",VLOOKUP($C$3&amp;"-"&amp;$D36,Import!$C:$H,5,FALSE))</f>
        <v/>
      </c>
      <c r="S36" s="995" t="str">
        <f>IF(VLOOKUP($C$3&amp;"-"&amp;$D36,Import!$C:$H,6,FALSE)=0,"",VLOOKUP($C$3&amp;"-"&amp;$D36,Import!$C:$H,6,FALSE))</f>
        <v/>
      </c>
      <c r="T36" s="157"/>
      <c r="U36" s="256"/>
    </row>
    <row r="37" spans="1:21" s="300" customFormat="1" ht="34.950000000000003" customHeight="1" x14ac:dyDescent="0.2">
      <c r="A37" s="309"/>
      <c r="B37" s="1213"/>
      <c r="C37" s="1237"/>
      <c r="D37" s="298" t="s">
        <v>109</v>
      </c>
      <c r="E37" s="508" t="str">
        <f>IF(VLOOKUP(CONCATENATE($C$3,"-",$D37),Languages!$A:$D,1,TRUE)=CONCATENATE($C$3,"-",$D37),VLOOKUP(CONCATENATE($C$3,"-",$D37),Languages!$A:$D,Summary!$C$7,TRUE),NA())</f>
        <v>Organisaation ylin johto tukee kyberturvallisuuspolitiikkojen ja -ohjeiden kehittämistä, ylläpitoa ja täytäntöönpanoa.</v>
      </c>
      <c r="F37" s="291">
        <f t="shared" si="1"/>
        <v>0</v>
      </c>
      <c r="G37" s="311"/>
      <c r="H37" s="554"/>
      <c r="I37" s="554"/>
      <c r="J37" s="554"/>
      <c r="K37" s="555"/>
      <c r="L37" s="157"/>
      <c r="M37" s="256"/>
      <c r="N37" s="152"/>
      <c r="O37" s="991" t="str">
        <f>VLOOKUP(VLOOKUP($C$3&amp;"-"&amp;$D37,Import!$C:$D,2,FALSE),Parameters!$C$18:$F$22,Summary!$C$7,FALSE)</f>
        <v xml:space="preserve">0 - Vastaus puuttuu </v>
      </c>
      <c r="P37" s="994" t="str">
        <f>IF(VLOOKUP($C$3&amp;"-"&amp;$D37,Import!$C:$H,3,FALSE)=0,"",VLOOKUP($C$3&amp;"-"&amp;$D37,Import!$C:$H,3,FALSE))</f>
        <v/>
      </c>
      <c r="Q37" s="994" t="str">
        <f>IF(VLOOKUP($C$3&amp;"-"&amp;$D37,Import!$C:$H,4,FALSE)=0,"",VLOOKUP($C$3&amp;"-"&amp;$D37,Import!$C:$H,4,FALSE))</f>
        <v/>
      </c>
      <c r="R37" s="994" t="str">
        <f>IF(VLOOKUP($C$3&amp;"-"&amp;$D37,Import!$C:$H,5,FALSE)=0,"",VLOOKUP($C$3&amp;"-"&amp;$D37,Import!$C:$H,5,FALSE))</f>
        <v/>
      </c>
      <c r="S37" s="995" t="str">
        <f>IF(VLOOKUP($C$3&amp;"-"&amp;$D37,Import!$C:$H,6,FALSE)=0,"",VLOOKUP($C$3&amp;"-"&amp;$D37,Import!$C:$H,6,FALSE))</f>
        <v/>
      </c>
      <c r="T37" s="157"/>
      <c r="U37" s="256"/>
    </row>
    <row r="38" spans="1:21" s="300" customFormat="1" ht="34.950000000000003" customHeight="1" x14ac:dyDescent="0.2">
      <c r="A38" s="309"/>
      <c r="B38" s="1213"/>
      <c r="C38" s="1237"/>
      <c r="D38" s="298" t="s">
        <v>173</v>
      </c>
      <c r="E38" s="508" t="str">
        <f>IF(VLOOKUP(CONCATENATE($C$3,"-",$D38),Languages!$A:$D,1,TRUE)=CONCATENATE($C$3,"-",$D38),VLOOKUP(CONCATENATE($C$3,"-",$D38),Languages!$A:$D,Summary!$C$7,TRUE),NA())</f>
        <v>Vastuu kyberturvallisuuden hallinnasta on osoitettu organisaatiossa taholle, jolla on riittävät toimivaltuudet.</v>
      </c>
      <c r="F38" s="291">
        <f t="shared" si="1"/>
        <v>0</v>
      </c>
      <c r="G38" s="311"/>
      <c r="H38" s="554"/>
      <c r="I38" s="554"/>
      <c r="J38" s="554"/>
      <c r="K38" s="555"/>
      <c r="L38" s="157"/>
      <c r="M38" s="256"/>
      <c r="N38" s="152"/>
      <c r="O38" s="991" t="str">
        <f>VLOOKUP(VLOOKUP($C$3&amp;"-"&amp;$D38,Import!$C:$D,2,FALSE),Parameters!$C$18:$F$22,Summary!$C$7,FALSE)</f>
        <v xml:space="preserve">0 - Vastaus puuttuu </v>
      </c>
      <c r="P38" s="994" t="str">
        <f>IF(VLOOKUP($C$3&amp;"-"&amp;$D38,Import!$C:$H,3,FALSE)=0,"",VLOOKUP($C$3&amp;"-"&amp;$D38,Import!$C:$H,3,FALSE))</f>
        <v/>
      </c>
      <c r="Q38" s="994" t="str">
        <f>IF(VLOOKUP($C$3&amp;"-"&amp;$D38,Import!$C:$H,4,FALSE)=0,"",VLOOKUP($C$3&amp;"-"&amp;$D38,Import!$C:$H,4,FALSE))</f>
        <v/>
      </c>
      <c r="R38" s="994" t="str">
        <f>IF(VLOOKUP($C$3&amp;"-"&amp;$D38,Import!$C:$H,5,FALSE)=0,"",VLOOKUP($C$3&amp;"-"&amp;$D38,Import!$C:$H,5,FALSE))</f>
        <v/>
      </c>
      <c r="S38" s="995" t="str">
        <f>IF(VLOOKUP($C$3&amp;"-"&amp;$D38,Import!$C:$H,6,FALSE)=0,"",VLOOKUP($C$3&amp;"-"&amp;$D38,Import!$C:$H,6,FALSE))</f>
        <v/>
      </c>
      <c r="T38" s="157"/>
      <c r="U38" s="256"/>
    </row>
    <row r="39" spans="1:21" s="300" customFormat="1" ht="34.950000000000003" customHeight="1" x14ac:dyDescent="0.2">
      <c r="A39" s="309"/>
      <c r="B39" s="1213"/>
      <c r="C39" s="1225"/>
      <c r="D39" s="407" t="s">
        <v>175</v>
      </c>
      <c r="E39" s="514" t="str">
        <f>IF(VLOOKUP(CONCATENATE($C$3,"-",$D39),Languages!$A:$D,1,TRUE)=CONCATENATE($C$3,"-",$D39),VLOOKUP(CONCATENATE($C$3,"-",$D39),Languages!$A:$D,Summary!$C$7,TRUE),NA())</f>
        <v>Kyberturvallisuuden hallinnan sidosryhmät on tunnistettu ja osallistettu.</v>
      </c>
      <c r="F39" s="403">
        <f t="shared" si="1"/>
        <v>0</v>
      </c>
      <c r="G39" s="489"/>
      <c r="H39" s="556"/>
      <c r="I39" s="556"/>
      <c r="J39" s="556"/>
      <c r="K39" s="557"/>
      <c r="L39" s="157"/>
      <c r="M39" s="256"/>
      <c r="N39" s="152"/>
      <c r="O39" s="996" t="str">
        <f>VLOOKUP(VLOOKUP($C$3&amp;"-"&amp;$D39,Import!$C:$D,2,FALSE),Parameters!$C$18:$F$22,Summary!$C$7,FALSE)</f>
        <v xml:space="preserve">0 - Vastaus puuttuu </v>
      </c>
      <c r="P39" s="997" t="str">
        <f>IF(VLOOKUP($C$3&amp;"-"&amp;$D39,Import!$C:$H,3,FALSE)=0,"",VLOOKUP($C$3&amp;"-"&amp;$D39,Import!$C:$H,3,FALSE))</f>
        <v/>
      </c>
      <c r="Q39" s="997" t="str">
        <f>IF(VLOOKUP($C$3&amp;"-"&amp;$D39,Import!$C:$H,4,FALSE)=0,"",VLOOKUP($C$3&amp;"-"&amp;$D39,Import!$C:$H,4,FALSE))</f>
        <v/>
      </c>
      <c r="R39" s="997" t="str">
        <f>IF(VLOOKUP($C$3&amp;"-"&amp;$D39,Import!$C:$H,5,FALSE)=0,"",VLOOKUP($C$3&amp;"-"&amp;$D39,Import!$C:$H,5,FALSE))</f>
        <v/>
      </c>
      <c r="S39" s="998" t="str">
        <f>IF(VLOOKUP($C$3&amp;"-"&amp;$D39,Import!$C:$H,6,FALSE)=0,"",VLOOKUP($C$3&amp;"-"&amp;$D39,Import!$C:$H,6,FALSE))</f>
        <v/>
      </c>
      <c r="T39" s="157"/>
      <c r="U39" s="256"/>
    </row>
    <row r="40" spans="1:21" s="300" customFormat="1" ht="40.799999999999997" customHeight="1" x14ac:dyDescent="0.2">
      <c r="A40" s="309"/>
      <c r="B40" s="1213"/>
      <c r="C40" s="1226">
        <v>3</v>
      </c>
      <c r="D40" s="406" t="s">
        <v>206</v>
      </c>
      <c r="E40" s="507" t="str">
        <f>IF(VLOOKUP(CONCATENATE($C$3,"-",$D40),Languages!$A:$D,1,TRUE)=CONCATENATE($C$3,"-",$D40),VLOOKUP(CONCATENATE($C$3,"-",$D40),Languages!$A:$D,Summary!$C$7,TRUE),NA())</f>
        <v>Kyberturvallisuuden hallinnan toiminta tarkastetaan aika ajoin, jotta varmistetaan että toimet ovat linjassa kyberturvallisuusstrategian kanssa.</v>
      </c>
      <c r="F40" s="396">
        <f t="shared" si="1"/>
        <v>0</v>
      </c>
      <c r="G40" s="485"/>
      <c r="H40" s="560"/>
      <c r="I40" s="560"/>
      <c r="J40" s="560"/>
      <c r="K40" s="561"/>
      <c r="L40" s="157"/>
      <c r="M40" s="256"/>
      <c r="N40" s="152"/>
      <c r="O40" s="988" t="str">
        <f>VLOOKUP(VLOOKUP($C$3&amp;"-"&amp;$D40,Import!$C:$D,2,FALSE),Parameters!$C$18:$F$22,Summary!$C$7,FALSE)</f>
        <v xml:space="preserve">0 - Vastaus puuttuu </v>
      </c>
      <c r="P40" s="1001" t="str">
        <f>IF(VLOOKUP($C$3&amp;"-"&amp;$D40,Import!$C:$H,3,FALSE)=0,"",VLOOKUP($C$3&amp;"-"&amp;$D40,Import!$C:$H,3,FALSE))</f>
        <v/>
      </c>
      <c r="Q40" s="1001" t="str">
        <f>IF(VLOOKUP($C$3&amp;"-"&amp;$D40,Import!$C:$H,4,FALSE)=0,"",VLOOKUP($C$3&amp;"-"&amp;$D40,Import!$C:$H,4,FALSE))</f>
        <v/>
      </c>
      <c r="R40" s="1001" t="str">
        <f>IF(VLOOKUP($C$3&amp;"-"&amp;$D40,Import!$C:$H,5,FALSE)=0,"",VLOOKUP($C$3&amp;"-"&amp;$D40,Import!$C:$H,5,FALSE))</f>
        <v/>
      </c>
      <c r="S40" s="1002" t="str">
        <f>IF(VLOOKUP($C$3&amp;"-"&amp;$D40,Import!$C:$H,6,FALSE)=0,"",VLOOKUP($C$3&amp;"-"&amp;$D40,Import!$C:$H,6,FALSE))</f>
        <v/>
      </c>
      <c r="T40" s="157"/>
      <c r="U40" s="256"/>
    </row>
    <row r="41" spans="1:21" s="300" customFormat="1" ht="60" customHeight="1" x14ac:dyDescent="0.2">
      <c r="A41" s="309"/>
      <c r="B41" s="1213"/>
      <c r="C41" s="1228"/>
      <c r="D41" s="298" t="s">
        <v>208</v>
      </c>
      <c r="E41" s="508" t="str">
        <f>IF(VLOOKUP(CONCATENATE($C$3,"-",$D41),Languages!$A:$D,1,TRUE)=CONCATENATE($C$3,"-",$D41),VLOOKUP(CONCATENATE($C$3,"-",$D41),Languages!$A:$D,Summary!$C$7,TRUE),NA())</f>
        <v>Riippumaton taho tarkastaa organisaation kyberturvallisuuteen liittyvät toiminnat aika ajoin ja määriteltyjen tilanteiden kuten prosessimuutosten yhteydessä, jotta varmistutaan että toiminta on kyberturvallisuuspolitiikkojen ja -ohjeiden mukaista.</v>
      </c>
      <c r="F41" s="291">
        <f t="shared" si="1"/>
        <v>0</v>
      </c>
      <c r="G41" s="311"/>
      <c r="H41" s="554"/>
      <c r="I41" s="554"/>
      <c r="J41" s="554"/>
      <c r="K41" s="555"/>
      <c r="L41" s="157"/>
      <c r="M41" s="256"/>
      <c r="N41" s="152"/>
      <c r="O41" s="991" t="str">
        <f>VLOOKUP(VLOOKUP($C$3&amp;"-"&amp;$D41,Import!$C:$D,2,FALSE),Parameters!$C$18:$F$22,Summary!$C$7,FALSE)</f>
        <v xml:space="preserve">0 - Vastaus puuttuu </v>
      </c>
      <c r="P41" s="994" t="str">
        <f>IF(VLOOKUP($C$3&amp;"-"&amp;$D41,Import!$C:$H,3,FALSE)=0,"",VLOOKUP($C$3&amp;"-"&amp;$D41,Import!$C:$H,3,FALSE))</f>
        <v/>
      </c>
      <c r="Q41" s="994" t="str">
        <f>IF(VLOOKUP($C$3&amp;"-"&amp;$D41,Import!$C:$H,4,FALSE)=0,"",VLOOKUP($C$3&amp;"-"&amp;$D41,Import!$C:$H,4,FALSE))</f>
        <v/>
      </c>
      <c r="R41" s="994" t="str">
        <f>IF(VLOOKUP($C$3&amp;"-"&amp;$D41,Import!$C:$H,5,FALSE)=0,"",VLOOKUP($C$3&amp;"-"&amp;$D41,Import!$C:$H,5,FALSE))</f>
        <v/>
      </c>
      <c r="S41" s="995" t="str">
        <f>IF(VLOOKUP($C$3&amp;"-"&amp;$D41,Import!$C:$H,6,FALSE)=0,"",VLOOKUP($C$3&amp;"-"&amp;$D41,Import!$C:$H,6,FALSE))</f>
        <v/>
      </c>
      <c r="T41" s="157"/>
      <c r="U41" s="256"/>
    </row>
    <row r="42" spans="1:21" s="300" customFormat="1" ht="34.950000000000003" customHeight="1" x14ac:dyDescent="0.2">
      <c r="A42" s="309"/>
      <c r="B42" s="1213"/>
      <c r="C42" s="1228"/>
      <c r="D42" s="298" t="s">
        <v>210</v>
      </c>
      <c r="E42" s="508" t="str">
        <f>IF(VLOOKUP(CONCATENATE($C$3,"-",$D42),Languages!$A:$D,1,TRUE)=CONCATENATE($C$3,"-",$D42),VLOOKUP(CONCATENATE($C$3,"-",$D42),Languages!$A:$D,Summary!$C$7,TRUE),NA())</f>
        <v>Kyberturvallisuuden hallinnassa huomioidaan sääntelyvaatimukset ja luodaan soveltuvin osin edellytykset niiden saavuttamiselle.</v>
      </c>
      <c r="F42" s="291">
        <f t="shared" si="1"/>
        <v>0</v>
      </c>
      <c r="G42" s="311"/>
      <c r="H42" s="554"/>
      <c r="I42" s="554"/>
      <c r="J42" s="554"/>
      <c r="K42" s="555"/>
      <c r="L42" s="157"/>
      <c r="M42" s="256"/>
      <c r="N42" s="152"/>
      <c r="O42" s="991" t="str">
        <f>VLOOKUP(VLOOKUP($C$3&amp;"-"&amp;$D42,Import!$C:$D,2,FALSE),Parameters!$C$18:$F$22,Summary!$C$7,FALSE)</f>
        <v xml:space="preserve">0 - Vastaus puuttuu </v>
      </c>
      <c r="P42" s="994" t="str">
        <f>IF(VLOOKUP($C$3&amp;"-"&amp;$D42,Import!$C:$H,3,FALSE)=0,"",VLOOKUP($C$3&amp;"-"&amp;$D42,Import!$C:$H,3,FALSE))</f>
        <v/>
      </c>
      <c r="Q42" s="994" t="str">
        <f>IF(VLOOKUP($C$3&amp;"-"&amp;$D42,Import!$C:$H,4,FALSE)=0,"",VLOOKUP($C$3&amp;"-"&amp;$D42,Import!$C:$H,4,FALSE))</f>
        <v/>
      </c>
      <c r="R42" s="994" t="str">
        <f>IF(VLOOKUP($C$3&amp;"-"&amp;$D42,Import!$C:$H,5,FALSE)=0,"",VLOOKUP($C$3&amp;"-"&amp;$D42,Import!$C:$H,5,FALSE))</f>
        <v/>
      </c>
      <c r="S42" s="995" t="str">
        <f>IF(VLOOKUP($C$3&amp;"-"&amp;$D42,Import!$C:$H,6,FALSE)=0,"",VLOOKUP($C$3&amp;"-"&amp;$D42,Import!$C:$H,6,FALSE))</f>
        <v/>
      </c>
      <c r="T42" s="157"/>
      <c r="U42" s="256"/>
    </row>
    <row r="43" spans="1:21" s="300" customFormat="1" ht="73.8" customHeight="1" x14ac:dyDescent="0.2">
      <c r="A43" s="309"/>
      <c r="B43" s="1213"/>
      <c r="C43" s="1227"/>
      <c r="D43" s="407" t="s">
        <v>212</v>
      </c>
      <c r="E43" s="514" t="str">
        <f>IF(VLOOKUP(CONCATENATE($C$3,"-",$D43),Languages!$A:$D,1,TRUE)=CONCATENATE($C$3,"-",$D43),VLOOKUP(CONCATENATE($C$3,"-",$D43),Languages!$A:$D,Summary!$C$7,TRUE),NA())</f>
        <v>Organisaatio tekee yhteistyötä organisaation ulkopuolisten toimijoiden kanssa osallistuakseen kyberturvallisuuteen liittyvien standardien, ohjeistusten, johtavien käytäntöjen, opittujen kokemusten sekä kehittyvien teknologioiden kehittämiseen ja täytäntöönpanoon.</v>
      </c>
      <c r="F43" s="403">
        <f t="shared" si="1"/>
        <v>0</v>
      </c>
      <c r="G43" s="489"/>
      <c r="H43" s="556"/>
      <c r="I43" s="556"/>
      <c r="J43" s="556"/>
      <c r="K43" s="557"/>
      <c r="L43" s="157"/>
      <c r="M43" s="256"/>
      <c r="N43" s="152"/>
      <c r="O43" s="996" t="str">
        <f>VLOOKUP(VLOOKUP($C$3&amp;"-"&amp;$D43,Import!$C:$D,2,FALSE),Parameters!$C$18:$F$22,Summary!$C$7,FALSE)</f>
        <v xml:space="preserve">0 - Vastaus puuttuu </v>
      </c>
      <c r="P43" s="997" t="str">
        <f>IF(VLOOKUP($C$3&amp;"-"&amp;$D43,Import!$C:$H,3,FALSE)=0,"",VLOOKUP($C$3&amp;"-"&amp;$D43,Import!$C:$H,3,FALSE))</f>
        <v/>
      </c>
      <c r="Q43" s="997" t="str">
        <f>IF(VLOOKUP($C$3&amp;"-"&amp;$D43,Import!$C:$H,4,FALSE)=0,"",VLOOKUP($C$3&amp;"-"&amp;$D43,Import!$C:$H,4,FALSE))</f>
        <v/>
      </c>
      <c r="R43" s="997" t="str">
        <f>IF(VLOOKUP($C$3&amp;"-"&amp;$D43,Import!$C:$H,5,FALSE)=0,"",VLOOKUP($C$3&amp;"-"&amp;$D43,Import!$C:$H,5,FALSE))</f>
        <v/>
      </c>
      <c r="S43" s="998" t="str">
        <f>IF(VLOOKUP($C$3&amp;"-"&amp;$D43,Import!$C:$H,6,FALSE)=0,"",VLOOKUP($C$3&amp;"-"&amp;$D43,Import!$C:$H,6,FALSE))</f>
        <v/>
      </c>
      <c r="T43" s="157"/>
      <c r="U43" s="256"/>
    </row>
    <row r="44" spans="1:21" s="180" customFormat="1" ht="30" customHeight="1" x14ac:dyDescent="0.25">
      <c r="A44" s="169"/>
      <c r="B44" s="273"/>
      <c r="C44" s="173">
        <v>3</v>
      </c>
      <c r="D44" s="173" t="str">
        <f>IF(VLOOKUP(CONCATENATE($C$3,"-",C44),Languages!$A:$D,1,TRUE)=CONCATENATE($C$3,"-",C44),VLOOKUP(CONCATENATE($C$3,"-",C44),Languages!$A:$D,Summary!$C$7,TRUE),NA())</f>
        <v>Yleisiä hallintatoimia</v>
      </c>
      <c r="E44" s="173"/>
      <c r="F44" s="296"/>
      <c r="G44" s="1006"/>
      <c r="H44" s="1006"/>
      <c r="I44" s="1006"/>
      <c r="J44" s="1006"/>
      <c r="K44" s="1006"/>
      <c r="L44" s="157"/>
      <c r="M44" s="256"/>
      <c r="N44" s="152"/>
      <c r="O44" s="296"/>
      <c r="P44" s="296"/>
      <c r="Q44" s="296"/>
      <c r="R44" s="296"/>
      <c r="S44" s="296"/>
      <c r="T44" s="157"/>
      <c r="U44" s="256"/>
    </row>
    <row r="45" spans="1:21" s="289" customFormat="1" ht="19.95" customHeight="1" x14ac:dyDescent="0.2">
      <c r="A45" s="308"/>
      <c r="B45" s="283"/>
      <c r="C45" s="284" t="str">
        <f>IF(VLOOKUP("GEN-LEVEL",Languages!$A:$D,1,TRUE)="GEN-LEVEL",VLOOKUP("GEN-LEVEL",Languages!$A:$D,Summary!$C$7,TRUE),NA())</f>
        <v>Taso</v>
      </c>
      <c r="D45" s="284"/>
      <c r="E45" s="285" t="str">
        <f>IF(VLOOKUP("GEN-PRACTICE",Languages!$A:$D,1,TRUE)="GEN-PRACTICE",VLOOKUP("GEN-PRACTICE",Languages!$A:$D,Summary!$C$7,TRUE),NA())</f>
        <v>Käytäntö</v>
      </c>
      <c r="F45" s="286"/>
      <c r="G45" s="1003" t="str">
        <f>IF(VLOOKUP("GEN-ANSWER",Languages!$A:$D,1,TRUE)="GEN-ANSWER",VLOOKUP("GEN-ANSWER",Languages!$A:$D,Summary!$C$7,TRUE),NA())</f>
        <v>Vastaus</v>
      </c>
      <c r="H45" s="1004" t="str">
        <f>IF(VLOOKUP("KM112",Languages!$A:$D,1,TRUE)="KM112",VLOOKUP("KM112",Languages!$A:$D,Summary!$C$7,TRUE),NA())</f>
        <v>Kommentit</v>
      </c>
      <c r="I45" s="1004" t="str">
        <f>IF(VLOOKUP("KM113",Languages!$A:$D,1,TRUE)="KM113",VLOOKUP("KM113",Languages!$A:$D,Summary!$C$7,TRUE),NA())</f>
        <v>Sisäinen viittaus</v>
      </c>
      <c r="J45" s="1004" t="str">
        <f>IF(VLOOKUP("KM114",Languages!$A:$D,1,TRUE)="KM114",VLOOKUP("KM114",Languages!$A:$D,Summary!$C$7,TRUE),NA())</f>
        <v>Ulkoinen viittaus</v>
      </c>
      <c r="K45" s="1004" t="str">
        <f>IF(VLOOKUP("KM115",Languages!$A:$D,1,TRUE)="KM115",VLOOKUP("KM115",Languages!$A:$D,Summary!$C$7,TRUE),NA())</f>
        <v>Kehityskohde</v>
      </c>
      <c r="L45" s="287"/>
      <c r="M45" s="288"/>
      <c r="N45" s="283"/>
      <c r="O45" s="503" t="str">
        <f>IF(VLOOKUP("GEN-ANSWER",Languages!$A:$D,1,TRUE)="GEN-ANSWER",VLOOKUP("GEN-ANSWER",Languages!$A:$D,Summary!$C$7,TRUE),NA())</f>
        <v>Vastaus</v>
      </c>
      <c r="P45" s="503" t="str">
        <f>IF(VLOOKUP("KM112",Languages!$A:$D,1,TRUE)="KM112",VLOOKUP("KM112",Languages!$A:$D,Summary!$C$7,TRUE),NA())</f>
        <v>Kommentit</v>
      </c>
      <c r="Q45" s="503" t="str">
        <f>IF(VLOOKUP("KM113",Languages!$A:$D,1,TRUE)="KM113",VLOOKUP("KM113",Languages!$A:$D,Summary!$C$7,TRUE),NA())</f>
        <v>Sisäinen viittaus</v>
      </c>
      <c r="R45" s="503" t="str">
        <f>IF(VLOOKUP("KM114",Languages!$A:$D,1,TRUE)="KM114",VLOOKUP("KM114",Languages!$A:$D,Summary!$C$7,TRUE),NA())</f>
        <v>Ulkoinen viittaus</v>
      </c>
      <c r="S45" s="503" t="str">
        <f>IF(VLOOKUP("KM115",Languages!$A:$D,1,TRUE)="KM115",VLOOKUP("KM115",Languages!$A:$D,Summary!$C$7,TRUE),NA())</f>
        <v>Kehityskohde</v>
      </c>
      <c r="T45" s="287"/>
      <c r="U45" s="288"/>
    </row>
    <row r="46" spans="1:21" s="315" customFormat="1" ht="19.95" customHeight="1" x14ac:dyDescent="0.2">
      <c r="A46" s="288"/>
      <c r="B46" s="283"/>
      <c r="C46" s="497">
        <v>1</v>
      </c>
      <c r="D46" s="412"/>
      <c r="E46" s="413"/>
      <c r="F46" s="415"/>
      <c r="G46" s="1007"/>
      <c r="H46" s="1008"/>
      <c r="I46" s="1008"/>
      <c r="J46" s="1008"/>
      <c r="K46" s="1009"/>
      <c r="L46" s="157"/>
      <c r="M46" s="256"/>
      <c r="N46" s="152"/>
      <c r="O46" s="562"/>
      <c r="P46" s="414"/>
      <c r="Q46" s="414"/>
      <c r="R46" s="414"/>
      <c r="S46" s="416"/>
      <c r="T46" s="157"/>
      <c r="U46" s="256"/>
    </row>
    <row r="47" spans="1:21" s="300" customFormat="1" ht="34.950000000000003" customHeight="1" x14ac:dyDescent="0.2">
      <c r="A47" s="309"/>
      <c r="B47" s="1213"/>
      <c r="C47" s="1224">
        <v>2</v>
      </c>
      <c r="D47" s="406" t="s">
        <v>22</v>
      </c>
      <c r="E47" s="507" t="str">
        <f>IF(VLOOKUP(CONCATENATE($C$3,"-",$D47),Languages!$A:$D,1,TRUE)=CONCATENATE($C$3,"-",$D47),VLOOKUP(CONCATENATE($C$3,"-",$D47),Languages!$A:$D,Summary!$C$7,TRUE),NA())</f>
        <v>PROGRAM-osion toimintaa varten on määritetty dokumentoidut toimintatavat, joita noudatetaan ja päivitetään säännöllisesti.</v>
      </c>
      <c r="F47" s="396">
        <f t="shared" ref="F47:F52" si="2">IFERROR(INT(LEFT($G47,1)),0)</f>
        <v>0</v>
      </c>
      <c r="G47" s="485"/>
      <c r="H47" s="560"/>
      <c r="I47" s="560"/>
      <c r="J47" s="560"/>
      <c r="K47" s="561"/>
      <c r="L47" s="157"/>
      <c r="M47" s="256"/>
      <c r="N47" s="152"/>
      <c r="O47" s="988" t="str">
        <f>VLOOKUP(VLOOKUP($C$3&amp;"-"&amp;$D47,Import!$C:$D,2,FALSE),Parameters!$C$18:$F$22,Summary!$C$7,FALSE)</f>
        <v xml:space="preserve">0 - Vastaus puuttuu </v>
      </c>
      <c r="P47" s="1001" t="str">
        <f>IF(VLOOKUP($C$3&amp;"-"&amp;$D47,Import!$C:$H,3,FALSE)=0,"",VLOOKUP($C$3&amp;"-"&amp;$D47,Import!$C:$H,3,FALSE))</f>
        <v/>
      </c>
      <c r="Q47" s="1001" t="str">
        <f>IF(VLOOKUP($C$3&amp;"-"&amp;$D47,Import!$C:$H,4,FALSE)=0,"",VLOOKUP($C$3&amp;"-"&amp;$D47,Import!$C:$H,4,FALSE))</f>
        <v/>
      </c>
      <c r="R47" s="1001" t="str">
        <f>IF(VLOOKUP($C$3&amp;"-"&amp;$D47,Import!$C:$H,5,FALSE)=0,"",VLOOKUP($C$3&amp;"-"&amp;$D47,Import!$C:$H,5,FALSE))</f>
        <v/>
      </c>
      <c r="S47" s="1002" t="str">
        <f>IF(VLOOKUP($C$3&amp;"-"&amp;$D47,Import!$C:$H,6,FALSE)=0,"",VLOOKUP($C$3&amp;"-"&amp;$D47,Import!$C:$H,6,FALSE))</f>
        <v/>
      </c>
      <c r="T47" s="157"/>
      <c r="U47" s="256"/>
    </row>
    <row r="48" spans="1:21" s="300" customFormat="1" ht="34.950000000000003" customHeight="1" x14ac:dyDescent="0.2">
      <c r="A48" s="309"/>
      <c r="B48" s="1213"/>
      <c r="C48" s="1225"/>
      <c r="D48" s="407" t="s">
        <v>23</v>
      </c>
      <c r="E48" s="514" t="str">
        <f>IF(VLOOKUP(CONCATENATE($C$3,"-",$D48),Languages!$A:$D,1,TRUE)=CONCATENATE($C$3,"-",$D48),VLOOKUP(CONCATENATE($C$3,"-",$D48),Languages!$A:$D,Summary!$C$7,TRUE),NA())</f>
        <v>PROGRAM-osion toimintaa varten on tarjolla riittävät resurssit (henkilöstö, rahoitus ja työkalut).</v>
      </c>
      <c r="F48" s="403">
        <f t="shared" si="2"/>
        <v>0</v>
      </c>
      <c r="G48" s="489"/>
      <c r="H48" s="556"/>
      <c r="I48" s="556"/>
      <c r="J48" s="556"/>
      <c r="K48" s="557"/>
      <c r="L48" s="157"/>
      <c r="M48" s="256"/>
      <c r="N48" s="152"/>
      <c r="O48" s="996" t="str">
        <f>VLOOKUP(VLOOKUP($C$3&amp;"-"&amp;$D48,Import!$C:$D,2,FALSE),Parameters!$C$18:$F$22,Summary!$C$7,FALSE)</f>
        <v xml:space="preserve">0 - Vastaus puuttuu </v>
      </c>
      <c r="P48" s="997" t="str">
        <f>IF(VLOOKUP($C$3&amp;"-"&amp;$D48,Import!$C:$H,3,FALSE)=0,"",VLOOKUP($C$3&amp;"-"&amp;$D48,Import!$C:$H,3,FALSE))</f>
        <v/>
      </c>
      <c r="Q48" s="997" t="str">
        <f>IF(VLOOKUP($C$3&amp;"-"&amp;$D48,Import!$C:$H,4,FALSE)=0,"",VLOOKUP($C$3&amp;"-"&amp;$D48,Import!$C:$H,4,FALSE))</f>
        <v/>
      </c>
      <c r="R48" s="997" t="str">
        <f>IF(VLOOKUP($C$3&amp;"-"&amp;$D48,Import!$C:$H,5,FALSE)=0,"",VLOOKUP($C$3&amp;"-"&amp;$D48,Import!$C:$H,5,FALSE))</f>
        <v/>
      </c>
      <c r="S48" s="998" t="str">
        <f>IF(VLOOKUP($C$3&amp;"-"&amp;$D48,Import!$C:$H,6,FALSE)=0,"",VLOOKUP($C$3&amp;"-"&amp;$D48,Import!$C:$H,6,FALSE))</f>
        <v/>
      </c>
      <c r="T48" s="157"/>
      <c r="U48" s="256"/>
    </row>
    <row r="49" spans="1:21" s="300" customFormat="1" ht="34.950000000000003" customHeight="1" x14ac:dyDescent="0.2">
      <c r="A49" s="309"/>
      <c r="B49" s="1213"/>
      <c r="C49" s="1226">
        <v>3</v>
      </c>
      <c r="D49" s="406" t="s">
        <v>24</v>
      </c>
      <c r="E49" s="507" t="str">
        <f>IF(VLOOKUP(CONCATENATE($C$3,"-",$D49),Languages!$A:$D,1,TRUE)=CONCATENATE($C$3,"-",$D49),VLOOKUP(CONCATENATE($C$3,"-",$D49),Languages!$A:$D,Summary!$C$7,TRUE),NA())</f>
        <v>PROGRAM-osion toimintaa ohjataan vaatimuksilla, jotka on asetettu organisaation johtotason politiikassa (tai vastaavassa ohjeistuksessa).</v>
      </c>
      <c r="F49" s="396">
        <f t="shared" si="2"/>
        <v>0</v>
      </c>
      <c r="G49" s="485"/>
      <c r="H49" s="560"/>
      <c r="I49" s="560"/>
      <c r="J49" s="560"/>
      <c r="K49" s="561"/>
      <c r="L49" s="157"/>
      <c r="M49" s="256"/>
      <c r="N49" s="152"/>
      <c r="O49" s="988" t="str">
        <f>VLOOKUP(VLOOKUP($C$3&amp;"-"&amp;$D49,Import!$C:$D,2,FALSE),Parameters!$C$18:$F$22,Summary!$C$7,FALSE)</f>
        <v xml:space="preserve">0 - Vastaus puuttuu </v>
      </c>
      <c r="P49" s="1001" t="str">
        <f>IF(VLOOKUP($C$3&amp;"-"&amp;$D49,Import!$C:$H,3,FALSE)=0,"",VLOOKUP($C$3&amp;"-"&amp;$D49,Import!$C:$H,3,FALSE))</f>
        <v/>
      </c>
      <c r="Q49" s="1001" t="str">
        <f>IF(VLOOKUP($C$3&amp;"-"&amp;$D49,Import!$C:$H,4,FALSE)=0,"",VLOOKUP($C$3&amp;"-"&amp;$D49,Import!$C:$H,4,FALSE))</f>
        <v/>
      </c>
      <c r="R49" s="1001" t="str">
        <f>IF(VLOOKUP($C$3&amp;"-"&amp;$D49,Import!$C:$H,5,FALSE)=0,"",VLOOKUP($C$3&amp;"-"&amp;$D49,Import!$C:$H,5,FALSE))</f>
        <v/>
      </c>
      <c r="S49" s="1002" t="str">
        <f>IF(VLOOKUP($C$3&amp;"-"&amp;$D49,Import!$C:$H,6,FALSE)=0,"",VLOOKUP($C$3&amp;"-"&amp;$D49,Import!$C:$H,6,FALSE))</f>
        <v/>
      </c>
      <c r="T49" s="157"/>
      <c r="U49" s="256"/>
    </row>
    <row r="50" spans="1:21" s="300" customFormat="1" ht="34.950000000000003" customHeight="1" x14ac:dyDescent="0.2">
      <c r="A50" s="309"/>
      <c r="B50" s="1213"/>
      <c r="C50" s="1228"/>
      <c r="D50" s="298" t="s">
        <v>25</v>
      </c>
      <c r="E50" s="508" t="str">
        <f>IF(VLOOKUP(CONCATENATE($C$3,"-",$D50),Languages!$A:$D,1,TRUE)=CONCATENATE($C$3,"-",$D50),VLOOKUP(CONCATENATE($C$3,"-",$D50),Languages!$A:$D,Summary!$C$7,TRUE),NA())</f>
        <v>PROGRAM-osion toimintaa suorittavilla työntekijöillä on riittävät tiedot ja taidot tehtäviensä suorittamiseen.</v>
      </c>
      <c r="F50" s="291">
        <f t="shared" si="2"/>
        <v>0</v>
      </c>
      <c r="G50" s="311"/>
      <c r="H50" s="554"/>
      <c r="I50" s="554"/>
      <c r="J50" s="554"/>
      <c r="K50" s="555"/>
      <c r="L50" s="157"/>
      <c r="M50" s="256"/>
      <c r="N50" s="152"/>
      <c r="O50" s="991" t="str">
        <f>VLOOKUP(VLOOKUP($C$3&amp;"-"&amp;$D50,Import!$C:$D,2,FALSE),Parameters!$C$18:$F$22,Summary!$C$7,FALSE)</f>
        <v xml:space="preserve">0 - Vastaus puuttuu </v>
      </c>
      <c r="P50" s="994" t="str">
        <f>IF(VLOOKUP($C$3&amp;"-"&amp;$D50,Import!$C:$H,3,FALSE)=0,"",VLOOKUP($C$3&amp;"-"&amp;$D50,Import!$C:$H,3,FALSE))</f>
        <v/>
      </c>
      <c r="Q50" s="994" t="str">
        <f>IF(VLOOKUP($C$3&amp;"-"&amp;$D50,Import!$C:$H,4,FALSE)=0,"",VLOOKUP($C$3&amp;"-"&amp;$D50,Import!$C:$H,4,FALSE))</f>
        <v/>
      </c>
      <c r="R50" s="994" t="str">
        <f>IF(VLOOKUP($C$3&amp;"-"&amp;$D50,Import!$C:$H,5,FALSE)=0,"",VLOOKUP($C$3&amp;"-"&amp;$D50,Import!$C:$H,5,FALSE))</f>
        <v/>
      </c>
      <c r="S50" s="995" t="str">
        <f>IF(VLOOKUP($C$3&amp;"-"&amp;$D50,Import!$C:$H,6,FALSE)=0,"",VLOOKUP($C$3&amp;"-"&amp;$D50,Import!$C:$H,6,FALSE))</f>
        <v/>
      </c>
      <c r="T50" s="157"/>
      <c r="U50" s="256"/>
    </row>
    <row r="51" spans="1:21" s="300" customFormat="1" ht="34.950000000000003" customHeight="1" x14ac:dyDescent="0.2">
      <c r="A51" s="309"/>
      <c r="B51" s="1213"/>
      <c r="C51" s="1228"/>
      <c r="D51" s="298" t="s">
        <v>26</v>
      </c>
      <c r="E51" s="508" t="str">
        <f>IF(VLOOKUP(CONCATENATE($C$3,"-",$D51),Languages!$A:$D,1,TRUE)=CONCATENATE($C$3,"-",$D51),VLOOKUP(CONCATENATE($C$3,"-",$D51),Languages!$A:$D,Summary!$C$7,TRUE),NA())</f>
        <v>PROGRAM-osion toiminnan suorittamiseen tarvittavat vastuut, tilivelvollisuudet ja valtuutukset on jalkautettu soveltuville työntekijöille.</v>
      </c>
      <c r="F51" s="291">
        <f t="shared" si="2"/>
        <v>0</v>
      </c>
      <c r="G51" s="311"/>
      <c r="H51" s="554"/>
      <c r="I51" s="554"/>
      <c r="J51" s="554"/>
      <c r="K51" s="555"/>
      <c r="L51" s="157"/>
      <c r="M51" s="256"/>
      <c r="N51" s="152"/>
      <c r="O51" s="991" t="str">
        <f>VLOOKUP(VLOOKUP($C$3&amp;"-"&amp;$D51,Import!$C:$D,2,FALSE),Parameters!$C$18:$F$22,Summary!$C$7,FALSE)</f>
        <v xml:space="preserve">0 - Vastaus puuttuu </v>
      </c>
      <c r="P51" s="994" t="str">
        <f>IF(VLOOKUP($C$3&amp;"-"&amp;$D51,Import!$C:$H,3,FALSE)=0,"",VLOOKUP($C$3&amp;"-"&amp;$D51,Import!$C:$H,3,FALSE))</f>
        <v/>
      </c>
      <c r="Q51" s="994" t="str">
        <f>IF(VLOOKUP($C$3&amp;"-"&amp;$D51,Import!$C:$H,4,FALSE)=0,"",VLOOKUP($C$3&amp;"-"&amp;$D51,Import!$C:$H,4,FALSE))</f>
        <v/>
      </c>
      <c r="R51" s="994" t="str">
        <f>IF(VLOOKUP($C$3&amp;"-"&amp;$D51,Import!$C:$H,5,FALSE)=0,"",VLOOKUP($C$3&amp;"-"&amp;$D51,Import!$C:$H,5,FALSE))</f>
        <v/>
      </c>
      <c r="S51" s="995" t="str">
        <f>IF(VLOOKUP($C$3&amp;"-"&amp;$D51,Import!$C:$H,6,FALSE)=0,"",VLOOKUP($C$3&amp;"-"&amp;$D51,Import!$C:$H,6,FALSE))</f>
        <v/>
      </c>
      <c r="T51" s="157"/>
      <c r="U51" s="256"/>
    </row>
    <row r="52" spans="1:21" s="300" customFormat="1" ht="34.950000000000003" customHeight="1" x14ac:dyDescent="0.2">
      <c r="A52" s="309"/>
      <c r="B52" s="394"/>
      <c r="C52" s="1227"/>
      <c r="D52" s="407" t="s">
        <v>27</v>
      </c>
      <c r="E52" s="514" t="str">
        <f>IF(VLOOKUP(CONCATENATE($C$3,"-",$D52),Languages!$A:$D,1,TRUE)=CONCATENATE($C$3,"-",$D52),VLOOKUP(CONCATENATE($C$3,"-",$D52),Languages!$A:$D,Summary!$C$7,TRUE),NA())</f>
        <v>PROGRAM-osion toiminnan vaikuttavuutta arvioidaan ja seurataan.</v>
      </c>
      <c r="F52" s="403">
        <f t="shared" si="2"/>
        <v>0</v>
      </c>
      <c r="G52" s="489"/>
      <c r="H52" s="556"/>
      <c r="I52" s="556"/>
      <c r="J52" s="556"/>
      <c r="K52" s="557"/>
      <c r="L52" s="157"/>
      <c r="M52" s="256"/>
      <c r="N52" s="152"/>
      <c r="O52" s="996" t="str">
        <f>VLOOKUP(VLOOKUP($C$3&amp;"-"&amp;$D52,Import!$C:$D,2,FALSE),Parameters!$C$18:$F$22,Summary!$C$7,FALSE)</f>
        <v xml:space="preserve">0 - Vastaus puuttuu </v>
      </c>
      <c r="P52" s="997" t="str">
        <f>IF(VLOOKUP($C$3&amp;"-"&amp;$D52,Import!$C:$H,3,FALSE)=0,"",VLOOKUP($C$3&amp;"-"&amp;$D52,Import!$C:$H,3,FALSE))</f>
        <v/>
      </c>
      <c r="Q52" s="997" t="str">
        <f>IF(VLOOKUP($C$3&amp;"-"&amp;$D52,Import!$C:$H,4,FALSE)=0,"",VLOOKUP($C$3&amp;"-"&amp;$D52,Import!$C:$H,4,FALSE))</f>
        <v/>
      </c>
      <c r="R52" s="997" t="str">
        <f>IF(VLOOKUP($C$3&amp;"-"&amp;$D52,Import!$C:$H,5,FALSE)=0,"",VLOOKUP($C$3&amp;"-"&amp;$D52,Import!$C:$H,5,FALSE))</f>
        <v/>
      </c>
      <c r="S52" s="998" t="str">
        <f>IF(VLOOKUP($C$3&amp;"-"&amp;$D52,Import!$C:$H,6,FALSE)=0,"",VLOOKUP($C$3&amp;"-"&amp;$D52,Import!$C:$H,6,FALSE))</f>
        <v/>
      </c>
      <c r="T52" s="157"/>
      <c r="U52" s="256"/>
    </row>
    <row r="53" spans="1:21" x14ac:dyDescent="0.2">
      <c r="A53" s="184"/>
      <c r="B53" s="333"/>
      <c r="C53" s="334"/>
      <c r="D53" s="335"/>
      <c r="E53" s="336"/>
      <c r="F53" s="337"/>
      <c r="G53" s="338"/>
      <c r="H53" s="336"/>
      <c r="I53" s="336"/>
      <c r="J53" s="336"/>
      <c r="K53" s="336"/>
      <c r="L53" s="157"/>
      <c r="M53" s="256"/>
      <c r="N53" s="152"/>
      <c r="O53" s="338"/>
      <c r="P53" s="336"/>
      <c r="Q53" s="336"/>
      <c r="R53" s="336"/>
      <c r="S53" s="336"/>
      <c r="T53" s="157"/>
      <c r="U53" s="256"/>
    </row>
    <row r="54" spans="1:21" x14ac:dyDescent="0.25">
      <c r="A54" s="184"/>
      <c r="B54" s="184"/>
      <c r="C54" s="184"/>
      <c r="D54" s="184"/>
      <c r="E54" s="184"/>
      <c r="F54" s="340"/>
      <c r="G54" s="184"/>
      <c r="H54" s="351"/>
      <c r="I54" s="351"/>
      <c r="J54" s="351"/>
      <c r="K54" s="351"/>
      <c r="L54" s="516"/>
      <c r="M54" s="347"/>
      <c r="N54" s="516"/>
      <c r="O54" s="184"/>
      <c r="P54" s="351"/>
      <c r="Q54" s="351"/>
      <c r="R54" s="351"/>
      <c r="S54" s="351"/>
      <c r="T54" s="516"/>
      <c r="U54" s="347"/>
    </row>
  </sheetData>
  <sheetProtection sheet="1" formatCells="0" formatColumns="0" formatRows="0"/>
  <mergeCells count="18">
    <mergeCell ref="I10:J11"/>
    <mergeCell ref="C6:K6"/>
    <mergeCell ref="C13:K13"/>
    <mergeCell ref="I8:J8"/>
    <mergeCell ref="O3:S17"/>
    <mergeCell ref="C15:K15"/>
    <mergeCell ref="C17:K17"/>
    <mergeCell ref="B47:B51"/>
    <mergeCell ref="C47:C48"/>
    <mergeCell ref="C49:C52"/>
    <mergeCell ref="B22:B23"/>
    <mergeCell ref="B24:B27"/>
    <mergeCell ref="B32:B33"/>
    <mergeCell ref="B34:B43"/>
    <mergeCell ref="C32:C33"/>
    <mergeCell ref="C23:C28"/>
    <mergeCell ref="C34:C39"/>
    <mergeCell ref="C40:C43"/>
  </mergeCells>
  <conditionalFormatting sqref="F4:F5 F7:F12 F22:F30 F32:F44 F46:F1048576">
    <cfRule type="containsText" dxfId="121" priority="21" operator="containsText" text="0">
      <formula>NOT(ISERROR(SEARCH("0",F4)))</formula>
    </cfRule>
  </conditionalFormatting>
  <conditionalFormatting sqref="F1 F3">
    <cfRule type="containsText" dxfId="120" priority="14" operator="containsText" text="0">
      <formula>NOT(ISERROR(SEARCH("0",F1)))</formula>
    </cfRule>
  </conditionalFormatting>
  <conditionalFormatting sqref="F2">
    <cfRule type="containsText" dxfId="119" priority="13" operator="containsText" text="0">
      <formula>NOT(ISERROR(SEARCH("0",F2)))</formula>
    </cfRule>
  </conditionalFormatting>
  <conditionalFormatting sqref="F45">
    <cfRule type="containsText" dxfId="118" priority="11" operator="containsText" text="0">
      <formula>NOT(ISERROR(SEARCH("0",F45)))</formula>
    </cfRule>
  </conditionalFormatting>
  <conditionalFormatting sqref="F31">
    <cfRule type="containsText" dxfId="117" priority="9" operator="containsText" text="0">
      <formula>NOT(ISERROR(SEARCH("0",F31)))</formula>
    </cfRule>
  </conditionalFormatting>
  <conditionalFormatting sqref="F21">
    <cfRule type="containsText" dxfId="116" priority="7" operator="containsText" text="0">
      <formula>NOT(ISERROR(SEARCH("0",F21)))</formula>
    </cfRule>
  </conditionalFormatting>
  <conditionalFormatting sqref="F14">
    <cfRule type="containsText" dxfId="115" priority="6" operator="containsText" text="0">
      <formula>NOT(ISERROR(SEARCH("0",F14)))</formula>
    </cfRule>
  </conditionalFormatting>
  <conditionalFormatting sqref="F16">
    <cfRule type="containsText" dxfId="114" priority="4" operator="containsText" text="0">
      <formula>NOT(ISERROR(SEARCH("0",F16)))</formula>
    </cfRule>
  </conditionalFormatting>
  <conditionalFormatting sqref="F20">
    <cfRule type="containsText" dxfId="113" priority="2" operator="containsText" text="0">
      <formula>NOT(ISERROR(SEARCH("0",F20)))</formula>
    </cfRule>
  </conditionalFormatting>
  <pageMargins left="0.7" right="0.7" top="0.75" bottom="0.75" header="0.3" footer="0.3"/>
  <pageSetup paperSize="9" scale="42" orientation="portrait" r:id="rId1"/>
  <rowBreaks count="1" manualBreakCount="1">
    <brk id="43" max="16383" man="1"/>
  </rowBreaks>
  <colBreaks count="1" manualBreakCount="1">
    <brk id="13" max="1048575" man="1"/>
  </colBreaks>
  <ignoredErrors>
    <ignoredError sqref="O29 O43 O52 O22 O23 O24 O25 O26 O27 O28 O32 O33 O34 O35 O36 O37 O38 O39 O40 O41 O42 O47 O48 O49 O50 O51 Q22:S22 P32:S43 P47:S52 P24:S29 Q23:S23" unlockedFormula="1"/>
  </ignoredErrors>
  <drawing r:id="rId2"/>
  <extLst>
    <ext xmlns:x14="http://schemas.microsoft.com/office/spreadsheetml/2009/9/main" uri="{78C0D931-6437-407d-A8EE-F0AAD7539E65}">
      <x14:conditionalFormattings>
        <x14:conditionalFormatting xmlns:xm="http://schemas.microsoft.com/office/excel/2006/main">
          <x14:cfRule type="iconSet" priority="22" id="{645A96C2-A06B-4213-9C4F-BB287D7E49C0}">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F46</xm:sqref>
        </x14:conditionalFormatting>
        <x14:conditionalFormatting xmlns:xm="http://schemas.microsoft.com/office/excel/2006/main">
          <x14:cfRule type="iconSet" priority="20" id="{68D6A089-3EC8-41EC-8795-097A48DF2243}">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F46:F1048576 F32:F44 F22:F30 F4:F5 F7:F12</xm:sqref>
        </x14:conditionalFormatting>
        <x14:conditionalFormatting xmlns:xm="http://schemas.microsoft.com/office/excel/2006/main">
          <x14:cfRule type="iconSet" priority="15" id="{7D421109-AC3F-4723-AAA6-EACF110AAB65}">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F3 F1</xm:sqref>
        </x14:conditionalFormatting>
        <x14:conditionalFormatting xmlns:xm="http://schemas.microsoft.com/office/excel/2006/main">
          <x14:cfRule type="iconSet" priority="16" id="{16481E60-FF53-462C-9487-687A8675B057}">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F2</xm:sqref>
        </x14:conditionalFormatting>
        <x14:conditionalFormatting xmlns:xm="http://schemas.microsoft.com/office/excel/2006/main">
          <x14:cfRule type="iconSet" priority="12" id="{339F107D-30A1-4A3B-99AF-2B9A921BCF62}">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F45</xm:sqref>
        </x14:conditionalFormatting>
        <x14:conditionalFormatting xmlns:xm="http://schemas.microsoft.com/office/excel/2006/main">
          <x14:cfRule type="iconSet" priority="10" id="{725711AF-B9DE-4329-BE2B-01F7663EF06B}">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F31</xm:sqref>
        </x14:conditionalFormatting>
        <x14:conditionalFormatting xmlns:xm="http://schemas.microsoft.com/office/excel/2006/main">
          <x14:cfRule type="iconSet" priority="8" id="{7D1E4395-50CA-4677-8586-EA15CDA17F01}">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F21</xm:sqref>
        </x14:conditionalFormatting>
        <x14:conditionalFormatting xmlns:xm="http://schemas.microsoft.com/office/excel/2006/main">
          <x14:cfRule type="iconSet" priority="5" id="{BC4E3019-80EA-4C93-A3A1-D9D3342E5422}">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F14</xm:sqref>
        </x14:conditionalFormatting>
        <x14:conditionalFormatting xmlns:xm="http://schemas.microsoft.com/office/excel/2006/main">
          <x14:cfRule type="iconSet" priority="3" id="{F4563950-1840-4278-BFC9-E69BBC379298}">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F16</xm:sqref>
        </x14:conditionalFormatting>
        <x14:conditionalFormatting xmlns:xm="http://schemas.microsoft.com/office/excel/2006/main">
          <x14:cfRule type="iconSet" priority="1" id="{8A2A3780-CBD5-4DBB-A21D-221FBF4B3196}">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F20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Parameters!$B$18:$B$22</xm:f>
          </x14:formula1>
          <xm:sqref>G22:G29 G32:G43 G47:G52</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2" tint="0.59999389629810485"/>
  </sheetPr>
  <dimension ref="A1:P22"/>
  <sheetViews>
    <sheetView showGridLines="0" zoomScale="80" zoomScaleNormal="80" workbookViewId="0"/>
  </sheetViews>
  <sheetFormatPr defaultColWidth="9.26953125" defaultRowHeight="11.4" x14ac:dyDescent="0.25"/>
  <cols>
    <col min="1" max="2" width="1.6328125" style="143" customWidth="1"/>
    <col min="3" max="3" width="2.6328125" style="143" customWidth="1"/>
    <col min="4" max="4" width="2.6328125" style="304" customWidth="1"/>
    <col min="5" max="5" width="40.6328125" style="304" customWidth="1"/>
    <col min="6" max="8" width="12.6328125" style="141" customWidth="1"/>
    <col min="9" max="9" width="13.1796875" style="141" customWidth="1"/>
    <col min="10" max="10" width="12.6328125" style="370" customWidth="1"/>
    <col min="11" max="12" width="12.6328125" style="141" customWidth="1"/>
    <col min="13" max="13" width="1.6328125" style="143" customWidth="1"/>
    <col min="14" max="14" width="1.6328125" style="307" customWidth="1"/>
    <col min="15" max="16" width="9.08984375" style="141" customWidth="1"/>
    <col min="17" max="17" width="9.08984375" style="143" customWidth="1"/>
    <col min="18" max="16384" width="9.26953125" style="143"/>
  </cols>
  <sheetData>
    <row r="1" spans="1:16" x14ac:dyDescent="0.25">
      <c r="A1" s="138"/>
      <c r="B1" s="138"/>
      <c r="C1" s="138"/>
      <c r="D1" s="138"/>
      <c r="E1" s="138"/>
      <c r="F1" s="138"/>
      <c r="G1" s="138"/>
      <c r="H1" s="138"/>
      <c r="I1" s="138"/>
      <c r="J1" s="138"/>
      <c r="K1" s="138"/>
      <c r="L1" s="138"/>
      <c r="M1" s="138"/>
      <c r="N1" s="138"/>
    </row>
    <row r="2" spans="1:16" s="261" customFormat="1" ht="25.05" customHeight="1" x14ac:dyDescent="0.2">
      <c r="A2" s="256"/>
      <c r="B2" s="145"/>
      <c r="C2" s="352" t="s">
        <v>751</v>
      </c>
      <c r="D2" s="148"/>
      <c r="E2" s="148"/>
      <c r="F2" s="259"/>
      <c r="G2" s="148"/>
      <c r="H2" s="148"/>
      <c r="I2" s="148"/>
      <c r="J2" s="148"/>
      <c r="K2" s="148"/>
      <c r="L2" s="148"/>
      <c r="M2" s="150"/>
      <c r="N2" s="256"/>
      <c r="O2" s="260"/>
      <c r="P2" s="260"/>
    </row>
    <row r="3" spans="1:16" ht="25.05" customHeight="1" x14ac:dyDescent="0.3">
      <c r="A3" s="138"/>
      <c r="B3" s="160"/>
      <c r="C3" s="158" t="str">
        <f>IF(VLOOKUP($C$2,Languages!$A:$D,1,TRUE)=$C$2,VLOOKUP($C$2,Languages!$A:$D,Summary!$C$7,TRUE),NA())</f>
        <v>Kyberturvallisuuden investointien taso</v>
      </c>
      <c r="D3" s="262"/>
      <c r="E3" s="262"/>
      <c r="F3" s="353"/>
      <c r="G3" s="326"/>
      <c r="H3" s="354"/>
      <c r="I3" s="326"/>
      <c r="J3" s="326"/>
      <c r="K3" s="326"/>
      <c r="L3" s="326"/>
      <c r="M3" s="164"/>
      <c r="N3" s="138"/>
    </row>
    <row r="4" spans="1:16" ht="10.050000000000001" customHeight="1" x14ac:dyDescent="0.25">
      <c r="A4" s="138"/>
      <c r="B4" s="160"/>
      <c r="C4" s="267"/>
      <c r="D4" s="162"/>
      <c r="E4" s="162"/>
      <c r="F4" s="162"/>
      <c r="G4" s="162"/>
      <c r="H4" s="162"/>
      <c r="I4" s="162"/>
      <c r="J4" s="162"/>
      <c r="K4" s="162"/>
      <c r="L4" s="266"/>
      <c r="M4" s="164"/>
      <c r="N4" s="138"/>
    </row>
    <row r="5" spans="1:16" ht="79.95" customHeight="1" x14ac:dyDescent="0.25">
      <c r="A5" s="138"/>
      <c r="B5" s="160"/>
      <c r="C5" s="1258" t="str">
        <f>IF(VLOOKUP("INVEST-02",Languages!$A:$D,1,TRUE)="INVEST-02",VLOOKUP("INVEST-02",Languages!$A:$D,Summary!$C$7,TRUE),NA())</f>
        <v>Valitse viisi suurinta kyberturvallisuuteen liittyvää kuluerää tai investointia viimeisten 24 kk ajalta ja syötä summat tuhansissa euroissa (x 1 000 €). Syötä vain ne kuluerät tai investoinnit, joiden pääasiallinen tarkoitus on ollut kyberturvallisuuden parantaminen tai ylläpitäminen. Ei vaikuta arviointiin. 
Sarakkeeseen "Suunniteltu" voit syöttää arvioimasi kulut/investoinnit seuraavien 12 kk aikana. Mikäli summat eivät ole vielä tiedossa, mutta tiedät mihin kategorioihin aiotaan panostaa, voit merkitä kategoriat "x"-merkillä.</v>
      </c>
      <c r="D5" s="1258"/>
      <c r="E5" s="1258"/>
      <c r="F5" s="1258"/>
      <c r="G5" s="1258"/>
      <c r="H5" s="1258"/>
      <c r="I5" s="1258"/>
      <c r="J5" s="1258"/>
      <c r="K5" s="1258"/>
      <c r="L5" s="1258"/>
      <c r="M5" s="164"/>
      <c r="N5" s="138"/>
    </row>
    <row r="6" spans="1:16" s="180" customFormat="1" ht="4.95" customHeight="1" thickBot="1" x14ac:dyDescent="0.35">
      <c r="A6" s="169"/>
      <c r="B6" s="273"/>
      <c r="C6" s="355"/>
      <c r="D6" s="355"/>
      <c r="E6" s="355"/>
      <c r="F6" s="356"/>
      <c r="G6" s="357"/>
      <c r="H6" s="357"/>
      <c r="I6" s="357"/>
      <c r="J6" s="358"/>
      <c r="K6" s="358"/>
      <c r="L6" s="357"/>
      <c r="M6" s="277"/>
      <c r="N6" s="278"/>
      <c r="O6" s="178"/>
      <c r="P6" s="178"/>
    </row>
    <row r="7" spans="1:16" s="180" customFormat="1" ht="30" customHeight="1" x14ac:dyDescent="0.25">
      <c r="A7" s="169"/>
      <c r="B7" s="273"/>
      <c r="C7" s="1265" t="str">
        <f>IF(VLOOKUP("INVEST-03",Languages!$A:$D,1,TRUE)="INVEST-03",VLOOKUP("INVEST-03",Languages!$A:$D,Summary!$C$7,TRUE),NA())</f>
        <v>Kategoria</v>
      </c>
      <c r="D7" s="1265"/>
      <c r="E7" s="1265"/>
      <c r="F7" s="359" t="str">
        <f>IF(VLOOKUP("INVEST-04",Languages!$A:$D,1,TRUE)="INVEST-04",VLOOKUP("INVEST-04",Languages!$A:$D,Summary!$C$7,TRUE),NA())</f>
        <v>Henkilöstö (sisäinen)</v>
      </c>
      <c r="G7" s="359" t="str">
        <f>IF(VLOOKUP("INVEST-05",Languages!$A:$D,1,TRUE)="INVEST-05",VLOOKUP("INVEST-05",Languages!$A:$D,Summary!$C$7,TRUE),NA())</f>
        <v>Konsultointi</v>
      </c>
      <c r="H7" s="359" t="str">
        <f>IF(VLOOKUP("INVEST-06",Languages!$A:$D,1,TRUE)="INVEST-06",VLOOKUP("INVEST-06",Languages!$A:$D,Summary!$C$7,TRUE),NA())</f>
        <v>Palvelut</v>
      </c>
      <c r="I7" s="359" t="str">
        <f>IF(VLOOKUP("INVEST-07",Languages!$A:$D,1,TRUE)="INVEST-07",VLOOKUP("INVEST-07",Languages!$A:$D,Summary!$C$7,TRUE),NA())</f>
        <v>Ohjelmisto-lisenssit</v>
      </c>
      <c r="J7" s="359" t="str">
        <f>IF(VLOOKUP("INVEST-08",Languages!$A:$D,1,TRUE)="INVEST-08",VLOOKUP("INVEST-08",Languages!$A:$D,Summary!$C$7,TRUE),NA())</f>
        <v>Laite-investoinnit</v>
      </c>
      <c r="K7" s="286" t="str">
        <f>IF(VLOOKUP("INVEST-09",Languages!$A:$D,1,TRUE)="INVEST-09",VLOOKUP("INVEST-09",Languages!$A:$D,Summary!$C$7,TRUE),NA())</f>
        <v>Yhteensä</v>
      </c>
      <c r="L7" s="360" t="str">
        <f>IF(VLOOKUP("INVEST-10",Languages!$A:$D,1,TRUE)="INVEST-10",VLOOKUP("INVEST-10",Languages!$A:$D,Summary!$C$7,TRUE),NA())</f>
        <v>Suunniteltu</v>
      </c>
      <c r="M7" s="277"/>
      <c r="N7" s="278"/>
      <c r="O7" s="178"/>
      <c r="P7" s="178"/>
    </row>
    <row r="8" spans="1:16" s="180" customFormat="1" ht="30" customHeight="1" x14ac:dyDescent="0.25">
      <c r="A8" s="169"/>
      <c r="B8" s="361" t="s">
        <v>57</v>
      </c>
      <c r="C8" s="1266" t="str">
        <f>IF(VLOOKUP($B8,Languages!$A:$D,1,TRUE)=$B8,VLOOKUP($B8,Languages!$A:$D,Summary!$C$7,TRUE),NA())</f>
        <v>Kriittisten palveluiden suojaaminen (CRITICAL)</v>
      </c>
      <c r="D8" s="1267"/>
      <c r="E8" s="1267"/>
      <c r="F8" s="578"/>
      <c r="G8" s="578"/>
      <c r="H8" s="578"/>
      <c r="I8" s="578"/>
      <c r="J8" s="578"/>
      <c r="K8" s="363">
        <f>SUM(F8:J8)</f>
        <v>0</v>
      </c>
      <c r="L8" s="579"/>
      <c r="M8" s="277"/>
      <c r="N8" s="278"/>
      <c r="O8" s="178"/>
      <c r="P8" s="178"/>
    </row>
    <row r="9" spans="1:16" s="180" customFormat="1" ht="30" customHeight="1" x14ac:dyDescent="0.25">
      <c r="A9" s="169"/>
      <c r="B9" s="361" t="s">
        <v>48</v>
      </c>
      <c r="C9" s="1261" t="str">
        <f>IF(VLOOKUP($B9,Languages!$A:$D,1,TRUE)=$B9,VLOOKUP($B9,Languages!$A:$D,Summary!$C$7,TRUE),NA())</f>
        <v>Omaisuuden, muutosten ja konfiguraation hallinta (ASSET)</v>
      </c>
      <c r="D9" s="1262"/>
      <c r="E9" s="1262"/>
      <c r="F9" s="580"/>
      <c r="G9" s="580"/>
      <c r="H9" s="580"/>
      <c r="I9" s="580"/>
      <c r="J9" s="580"/>
      <c r="K9" s="362">
        <f t="shared" ref="K9:K18" si="0">SUM(F9:J9)</f>
        <v>0</v>
      </c>
      <c r="L9" s="581"/>
      <c r="M9" s="277"/>
      <c r="N9" s="278"/>
      <c r="O9" s="178"/>
      <c r="P9" s="178"/>
    </row>
    <row r="10" spans="1:16" s="180" customFormat="1" ht="30" customHeight="1" x14ac:dyDescent="0.25">
      <c r="A10" s="169"/>
      <c r="B10" s="361" t="s">
        <v>66</v>
      </c>
      <c r="C10" s="1261" t="str">
        <f>IF(VLOOKUP($B10,Languages!$A:$D,1,TRUE)=$B10,VLOOKUP($B10,Languages!$A:$D,Summary!$C$7,TRUE),NA())</f>
        <v>Uhkien ja haavoittuvuuksien hallinta (THREAT)</v>
      </c>
      <c r="D10" s="1262"/>
      <c r="E10" s="1262"/>
      <c r="F10" s="582"/>
      <c r="G10" s="582"/>
      <c r="H10" s="582"/>
      <c r="I10" s="582"/>
      <c r="J10" s="582"/>
      <c r="K10" s="362">
        <f t="shared" si="0"/>
        <v>0</v>
      </c>
      <c r="L10" s="583"/>
      <c r="M10" s="277"/>
      <c r="N10" s="278"/>
      <c r="O10" s="178"/>
      <c r="P10" s="178"/>
    </row>
    <row r="11" spans="1:16" s="180" customFormat="1" ht="30" customHeight="1" x14ac:dyDescent="0.25">
      <c r="A11" s="169"/>
      <c r="B11" s="361" t="s">
        <v>0</v>
      </c>
      <c r="C11" s="1261" t="str">
        <f>IF(VLOOKUP($B11,Languages!$A:$D,1,TRUE)=$B11,VLOOKUP($B11,Languages!$A:$D,Summary!$C$7,TRUE),NA())</f>
        <v>Riskienhallinta (RISK)</v>
      </c>
      <c r="D11" s="1262"/>
      <c r="E11" s="1262"/>
      <c r="F11" s="582"/>
      <c r="G11" s="582"/>
      <c r="H11" s="582"/>
      <c r="I11" s="582"/>
      <c r="J11" s="582"/>
      <c r="K11" s="362">
        <f t="shared" si="0"/>
        <v>0</v>
      </c>
      <c r="L11" s="583"/>
      <c r="M11" s="277"/>
      <c r="N11" s="278"/>
      <c r="O11" s="178"/>
      <c r="P11" s="178"/>
    </row>
    <row r="12" spans="1:16" s="180" customFormat="1" ht="30" customHeight="1" x14ac:dyDescent="0.25">
      <c r="A12" s="169"/>
      <c r="B12" s="361" t="s">
        <v>61</v>
      </c>
      <c r="C12" s="1261" t="str">
        <f>IF(VLOOKUP($B12,Languages!$A:$D,1,TRUE)=$B12,VLOOKUP($B12,Languages!$A:$D,Summary!$C$7,TRUE),NA())</f>
        <v>Identiteetin- ja pääsynhallinta (ACCESS)</v>
      </c>
      <c r="D12" s="1262"/>
      <c r="E12" s="1262"/>
      <c r="F12" s="582"/>
      <c r="G12" s="582"/>
      <c r="H12" s="582"/>
      <c r="I12" s="582"/>
      <c r="J12" s="582"/>
      <c r="K12" s="362">
        <f t="shared" si="0"/>
        <v>0</v>
      </c>
      <c r="L12" s="583"/>
      <c r="M12" s="277"/>
      <c r="N12" s="278"/>
      <c r="O12" s="178"/>
      <c r="P12" s="178"/>
    </row>
    <row r="13" spans="1:16" s="180" customFormat="1" ht="30" customHeight="1" x14ac:dyDescent="0.25">
      <c r="A13" s="169"/>
      <c r="B13" s="361" t="s">
        <v>69</v>
      </c>
      <c r="C13" s="1261" t="str">
        <f>IF(VLOOKUP($B13,Languages!$A:$D,1,TRUE)=$B13,VLOOKUP($B13,Languages!$A:$D,Summary!$C$7,TRUE),NA())</f>
        <v>Tilannekuva (SITUATION)</v>
      </c>
      <c r="D13" s="1262"/>
      <c r="E13" s="1262"/>
      <c r="F13" s="582"/>
      <c r="G13" s="582"/>
      <c r="H13" s="582"/>
      <c r="I13" s="582"/>
      <c r="J13" s="582"/>
      <c r="K13" s="362">
        <f t="shared" si="0"/>
        <v>0</v>
      </c>
      <c r="L13" s="583"/>
      <c r="M13" s="277"/>
      <c r="N13" s="278"/>
      <c r="O13" s="178"/>
      <c r="P13" s="178"/>
    </row>
    <row r="14" spans="1:16" s="180" customFormat="1" ht="30" customHeight="1" x14ac:dyDescent="0.25">
      <c r="A14" s="169"/>
      <c r="B14" s="361" t="s">
        <v>71</v>
      </c>
      <c r="C14" s="1261" t="str">
        <f>IF(VLOOKUP($B14,Languages!$A:$D,1,TRUE)=$B14,VLOOKUP($B14,Languages!$A:$D,Summary!$C$7,TRUE),NA())</f>
        <v>Tapahtumien ja häiriöiden hallinta, toiminnan jatkuvuus (RESPONSE)</v>
      </c>
      <c r="D14" s="1262"/>
      <c r="E14" s="1262"/>
      <c r="F14" s="582"/>
      <c r="G14" s="582"/>
      <c r="H14" s="582"/>
      <c r="I14" s="582"/>
      <c r="J14" s="582"/>
      <c r="K14" s="362">
        <f t="shared" si="0"/>
        <v>0</v>
      </c>
      <c r="L14" s="583"/>
      <c r="M14" s="277"/>
      <c r="N14" s="278"/>
      <c r="O14" s="178"/>
      <c r="P14" s="178"/>
    </row>
    <row r="15" spans="1:16" s="180" customFormat="1" ht="30" customHeight="1" x14ac:dyDescent="0.25">
      <c r="A15" s="169"/>
      <c r="B15" s="361" t="s">
        <v>1145</v>
      </c>
      <c r="C15" s="1261" t="str">
        <f>IF(VLOOKUP($B15,Languages!$A:$D,1,TRUE)=$B15,VLOOKUP($B15,Languages!$A:$D,Summary!$C$7,TRUE),NA())</f>
        <v>Kumppaniverkoston riskien hallinta (THIRDPARTY)</v>
      </c>
      <c r="D15" s="1262"/>
      <c r="E15" s="1262"/>
      <c r="F15" s="582"/>
      <c r="G15" s="582"/>
      <c r="H15" s="582"/>
      <c r="I15" s="582"/>
      <c r="J15" s="582"/>
      <c r="K15" s="362">
        <f t="shared" si="0"/>
        <v>0</v>
      </c>
      <c r="L15" s="583"/>
      <c r="M15" s="277"/>
      <c r="N15" s="278"/>
      <c r="O15" s="178"/>
      <c r="P15" s="178"/>
    </row>
    <row r="16" spans="1:16" s="180" customFormat="1" ht="30" customHeight="1" x14ac:dyDescent="0.25">
      <c r="A16" s="169"/>
      <c r="B16" s="361" t="s">
        <v>77</v>
      </c>
      <c r="C16" s="1261" t="str">
        <f>IF(VLOOKUP($B16,Languages!$A:$D,1,TRUE)=$B16,VLOOKUP($B16,Languages!$A:$D,Summary!$C$7,TRUE),NA())</f>
        <v>Henkilöstön johtaminen ja kehittäminen (WORKFORCE)</v>
      </c>
      <c r="D16" s="1262"/>
      <c r="E16" s="1262"/>
      <c r="F16" s="582"/>
      <c r="G16" s="582"/>
      <c r="H16" s="582"/>
      <c r="I16" s="582"/>
      <c r="J16" s="582"/>
      <c r="K16" s="362">
        <f t="shared" si="0"/>
        <v>0</v>
      </c>
      <c r="L16" s="583"/>
      <c r="M16" s="277"/>
      <c r="N16" s="278"/>
      <c r="O16" s="178"/>
      <c r="P16" s="178"/>
    </row>
    <row r="17" spans="1:16" s="180" customFormat="1" ht="30" customHeight="1" x14ac:dyDescent="0.25">
      <c r="A17" s="169"/>
      <c r="B17" s="361" t="s">
        <v>80</v>
      </c>
      <c r="C17" s="1261" t="str">
        <f>IF(VLOOKUP($B17,Languages!$A:$D,1,TRUE)=$B17,VLOOKUP($B17,Languages!$A:$D,Summary!$C$7,TRUE),NA())</f>
        <v>Kyberturvallisuusarkkitehtuuri (ARCHITECTURE)</v>
      </c>
      <c r="D17" s="1262"/>
      <c r="E17" s="1262"/>
      <c r="F17" s="582"/>
      <c r="G17" s="582"/>
      <c r="H17" s="582"/>
      <c r="I17" s="582"/>
      <c r="J17" s="582"/>
      <c r="K17" s="362">
        <f t="shared" si="0"/>
        <v>0</v>
      </c>
      <c r="L17" s="583"/>
      <c r="M17" s="277"/>
      <c r="N17" s="278"/>
      <c r="O17" s="178"/>
      <c r="P17" s="178"/>
    </row>
    <row r="18" spans="1:16" s="180" customFormat="1" ht="30" customHeight="1" x14ac:dyDescent="0.25">
      <c r="A18" s="169"/>
      <c r="B18" s="361" t="s">
        <v>82</v>
      </c>
      <c r="C18" s="1263" t="str">
        <f>IF(VLOOKUP($B18,Languages!$A:$D,1,TRUE)=$B18,VLOOKUP($B18,Languages!$A:$D,Summary!$C$7,TRUE),NA())</f>
        <v>Kyberturvallisuuden hallinta (PROGRAM)</v>
      </c>
      <c r="D18" s="1264"/>
      <c r="E18" s="1264"/>
      <c r="F18" s="584"/>
      <c r="G18" s="584"/>
      <c r="H18" s="584"/>
      <c r="I18" s="584"/>
      <c r="J18" s="584"/>
      <c r="K18" s="577">
        <f t="shared" si="0"/>
        <v>0</v>
      </c>
      <c r="L18" s="585"/>
      <c r="M18" s="277"/>
      <c r="N18" s="278"/>
      <c r="O18" s="178"/>
      <c r="P18" s="178"/>
    </row>
    <row r="19" spans="1:16" s="180" customFormat="1" ht="30" customHeight="1" x14ac:dyDescent="0.25">
      <c r="A19" s="169"/>
      <c r="B19" s="361"/>
      <c r="C19" s="1259" t="str">
        <f>IF(VLOOKUP("INVEST-11",Languages!$A:$D,1,TRUE)="INVEST-11",VLOOKUP("INVEST-11",Languages!$A:$D,Summary!$C$7,TRUE),NA())</f>
        <v>Yhteensä (x 1 000 €)</v>
      </c>
      <c r="D19" s="1259"/>
      <c r="E19" s="1260"/>
      <c r="F19" s="363">
        <f t="shared" ref="F19:L19" si="1">SUM(F8:F18)</f>
        <v>0</v>
      </c>
      <c r="G19" s="363">
        <f t="shared" si="1"/>
        <v>0</v>
      </c>
      <c r="H19" s="363">
        <f t="shared" si="1"/>
        <v>0</v>
      </c>
      <c r="I19" s="363">
        <f t="shared" si="1"/>
        <v>0</v>
      </c>
      <c r="J19" s="363">
        <f t="shared" si="1"/>
        <v>0</v>
      </c>
      <c r="K19" s="363">
        <f t="shared" si="1"/>
        <v>0</v>
      </c>
      <c r="L19" s="363">
        <f t="shared" si="1"/>
        <v>0</v>
      </c>
      <c r="M19" s="277"/>
      <c r="N19" s="278"/>
      <c r="O19" s="178"/>
      <c r="P19" s="178"/>
    </row>
    <row r="20" spans="1:16" s="180" customFormat="1" ht="30" customHeight="1" x14ac:dyDescent="0.3">
      <c r="A20" s="169"/>
      <c r="B20" s="273"/>
      <c r="C20" s="364"/>
      <c r="D20" s="365"/>
      <c r="E20" s="365"/>
      <c r="F20" s="328"/>
      <c r="G20" s="366"/>
      <c r="H20" s="366"/>
      <c r="I20" s="366"/>
      <c r="J20" s="367"/>
      <c r="K20" s="367"/>
      <c r="L20" s="366"/>
      <c r="M20" s="277"/>
      <c r="N20" s="278"/>
      <c r="O20" s="178"/>
      <c r="P20" s="178"/>
    </row>
    <row r="21" spans="1:16" x14ac:dyDescent="0.25">
      <c r="A21" s="240"/>
      <c r="B21" s="241"/>
      <c r="C21" s="302"/>
      <c r="D21" s="242"/>
      <c r="E21" s="242"/>
      <c r="F21" s="303"/>
      <c r="G21" s="303"/>
      <c r="H21" s="303"/>
      <c r="I21" s="303"/>
      <c r="J21" s="368"/>
      <c r="K21" s="369"/>
      <c r="L21" s="303"/>
      <c r="M21" s="247"/>
      <c r="N21" s="240"/>
    </row>
    <row r="22" spans="1:16" x14ac:dyDescent="0.25">
      <c r="A22" s="240"/>
      <c r="B22" s="240"/>
      <c r="C22" s="240"/>
      <c r="D22" s="240"/>
      <c r="E22" s="240"/>
      <c r="F22" s="240"/>
      <c r="G22" s="240"/>
      <c r="H22" s="240"/>
      <c r="I22" s="240"/>
      <c r="J22" s="240"/>
      <c r="K22" s="240"/>
      <c r="L22" s="240"/>
      <c r="M22" s="240"/>
      <c r="N22" s="240"/>
    </row>
  </sheetData>
  <sheetProtection sheet="1" objects="1" scenarios="1" formatRows="0"/>
  <mergeCells count="14">
    <mergeCell ref="C5:L5"/>
    <mergeCell ref="C19:E19"/>
    <mergeCell ref="C10:E10"/>
    <mergeCell ref="C9:E9"/>
    <mergeCell ref="C11:E11"/>
    <mergeCell ref="C12:E12"/>
    <mergeCell ref="C13:E13"/>
    <mergeCell ref="C14:E14"/>
    <mergeCell ref="C15:E15"/>
    <mergeCell ref="C16:E16"/>
    <mergeCell ref="C17:E17"/>
    <mergeCell ref="C18:E18"/>
    <mergeCell ref="C7:E7"/>
    <mergeCell ref="C8:E8"/>
  </mergeCells>
  <pageMargins left="0.7" right="0.7" top="0.75" bottom="0.75" header="0.3" footer="0.3"/>
  <pageSetup paperSize="9" scale="50"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83" id="{9E7226B3-1067-417A-A4CA-EACC958E7A86}">
            <x14:iconSet iconSet="4RedToBlack" showValue="0" custom="1">
              <x14:cfvo type="percent">
                <xm:f>0</xm:f>
              </x14:cfvo>
              <x14:cfvo type="num">
                <xm:f>1</xm:f>
              </x14:cfvo>
              <x14:cfvo type="num">
                <xm:f>2</xm:f>
              </x14:cfvo>
              <x14:cfvo type="num">
                <xm:f>3</xm:f>
              </x14:cfvo>
              <x14:cfIcon iconSet="4TrafficLights" iconId="0"/>
              <x14:cfIcon iconSet="3TrafficLights1" iconId="0"/>
              <x14:cfIcon iconSet="3TrafficLights1" iconId="1"/>
              <x14:cfIcon iconSet="3TrafficLights1" iconId="2"/>
            </x14:iconSet>
          </x14:cfRule>
          <xm:sqref>G3</xm:sqref>
        </x14:conditionalFormatting>
        <x14:conditionalFormatting xmlns:xm="http://schemas.microsoft.com/office/excel/2006/main">
          <x14:cfRule type="iconSet" priority="2" id="{819A0D45-1B91-4729-8FFB-B5819B3F6A49}">
            <x14:iconSet iconSet="4RedToBlack" showValue="0" custom="1">
              <x14:cfvo type="percent">
                <xm:f>0</xm:f>
              </x14:cfvo>
              <x14:cfvo type="num">
                <xm:f>1</xm:f>
              </x14:cfvo>
              <x14:cfvo type="num">
                <xm:f>2</xm:f>
              </x14:cfvo>
              <x14:cfvo type="num">
                <xm:f>3</xm:f>
              </x14:cfvo>
              <x14:cfIcon iconSet="4TrafficLights" iconId="0"/>
              <x14:cfIcon iconSet="3TrafficLights1" iconId="0"/>
              <x14:cfIcon iconSet="3TrafficLights1" iconId="1"/>
              <x14:cfIcon iconSet="3TrafficLights1" iconId="2"/>
            </x14:iconSet>
          </x14:cfRule>
          <xm:sqref>J3:L3</xm:sqref>
        </x14:conditionalFormatting>
        <x14:conditionalFormatting xmlns:xm="http://schemas.microsoft.com/office/excel/2006/main">
          <x14:cfRule type="iconSet" priority="1" id="{2AA324E3-BA02-40F5-939C-5D2DB0A2F2A7}">
            <x14:iconSet iconSet="4RedToBlack" showValue="0" custom="1">
              <x14:cfvo type="percent">
                <xm:f>0</xm:f>
              </x14:cfvo>
              <x14:cfvo type="num">
                <xm:f>1</xm:f>
              </x14:cfvo>
              <x14:cfvo type="num">
                <xm:f>2</xm:f>
              </x14:cfvo>
              <x14:cfvo type="num">
                <xm:f>3</xm:f>
              </x14:cfvo>
              <x14:cfIcon iconSet="4TrafficLights" iconId="0"/>
              <x14:cfIcon iconSet="3TrafficLights1" iconId="0"/>
              <x14:cfIcon iconSet="3TrafficLights1" iconId="1"/>
              <x14:cfIcon iconSet="3TrafficLights1" iconId="2"/>
            </x14:iconSet>
          </x14:cfRule>
          <xm:sqref>I3</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58B1"/>
  </sheetPr>
  <dimension ref="A1:S21"/>
  <sheetViews>
    <sheetView showGridLines="0" zoomScale="80" zoomScaleNormal="80" zoomScalePageLayoutView="70" workbookViewId="0"/>
  </sheetViews>
  <sheetFormatPr defaultColWidth="9.26953125" defaultRowHeight="18" customHeight="1" x14ac:dyDescent="0.25"/>
  <cols>
    <col min="1" max="2" width="1.6328125" style="5" customWidth="1"/>
    <col min="3" max="3" width="2.6328125" style="5" customWidth="1"/>
    <col min="4" max="4" width="2.6328125" style="13" customWidth="1"/>
    <col min="5" max="5" width="30.6328125" style="47" customWidth="1"/>
    <col min="6" max="6" width="1.6328125" style="5" customWidth="1"/>
    <col min="7" max="7" width="10.6328125" style="5" customWidth="1"/>
    <col min="8" max="8" width="1.6328125" style="5" customWidth="1"/>
    <col min="9" max="9" width="65.6328125" style="5" customWidth="1"/>
    <col min="10" max="11" width="2.6328125" style="5" customWidth="1"/>
    <col min="12" max="12" width="1.6328125" style="5" customWidth="1"/>
    <col min="13" max="13" width="1.6328125" style="13" customWidth="1"/>
    <col min="14" max="14" width="2.6328125" style="46" customWidth="1"/>
    <col min="15" max="15" width="1.6328125" style="77" customWidth="1"/>
    <col min="16" max="16" width="80.6328125" style="77" customWidth="1"/>
    <col min="17" max="17" width="1.6328125" style="77" customWidth="1"/>
    <col min="18" max="16384" width="9.26953125" style="5"/>
  </cols>
  <sheetData>
    <row r="1" spans="1:19" ht="13.5" customHeight="1" x14ac:dyDescent="0.25">
      <c r="A1" s="3"/>
      <c r="B1" s="3"/>
      <c r="C1" s="3"/>
      <c r="D1" s="4"/>
      <c r="E1" s="4"/>
      <c r="F1" s="3"/>
      <c r="G1" s="3"/>
      <c r="H1" s="3"/>
      <c r="I1" s="3"/>
      <c r="J1" s="3"/>
      <c r="K1" s="3"/>
      <c r="L1" s="3"/>
      <c r="M1" s="3"/>
      <c r="N1" s="43"/>
      <c r="O1" s="3"/>
      <c r="P1" s="3"/>
      <c r="Q1" s="3"/>
    </row>
    <row r="2" spans="1:19" s="9" customFormat="1" ht="18" customHeight="1" x14ac:dyDescent="0.25">
      <c r="A2" s="6"/>
      <c r="B2" s="7"/>
      <c r="C2" s="35"/>
      <c r="D2" s="35"/>
      <c r="E2" s="49"/>
      <c r="F2" s="35"/>
      <c r="G2" s="35"/>
      <c r="H2" s="35"/>
      <c r="I2" s="35"/>
      <c r="J2" s="35"/>
      <c r="K2" s="35"/>
      <c r="L2" s="8"/>
      <c r="M2" s="6"/>
      <c r="N2" s="44"/>
      <c r="O2" s="6"/>
      <c r="P2" s="913" t="s">
        <v>2307</v>
      </c>
      <c r="Q2" s="6"/>
    </row>
    <row r="3" spans="1:19" ht="18" customHeight="1" x14ac:dyDescent="0.25">
      <c r="A3" s="3"/>
      <c r="B3" s="10"/>
      <c r="D3" s="72" t="s">
        <v>477</v>
      </c>
      <c r="E3" s="72"/>
      <c r="F3" s="72"/>
      <c r="G3" s="72"/>
      <c r="H3" s="72"/>
      <c r="I3" s="72"/>
      <c r="J3" s="72"/>
      <c r="K3" s="52"/>
      <c r="L3" s="11"/>
      <c r="M3" s="3"/>
      <c r="N3" s="43"/>
      <c r="O3" s="3"/>
      <c r="P3" s="914"/>
      <c r="Q3" s="6"/>
      <c r="R3" s="853" t="s">
        <v>2321</v>
      </c>
    </row>
    <row r="4" spans="1:19" ht="34.950000000000003" customHeight="1" x14ac:dyDescent="0.2">
      <c r="A4" s="3"/>
      <c r="B4" s="10"/>
      <c r="D4" s="71" t="str">
        <f>IF(VLOOKUP("KM70",Languages!$A:$D,1,TRUE)="KM70",VLOOKUP("KM70",Languages!$A:$D,Summary!$C$7,TRUE),NA())</f>
        <v>Kyberturvallisuuden kypsyystaso</v>
      </c>
      <c r="E4" s="73"/>
      <c r="F4" s="73"/>
      <c r="G4" s="73"/>
      <c r="H4" s="73"/>
      <c r="I4" s="73"/>
      <c r="J4" s="73"/>
      <c r="K4" s="51"/>
      <c r="L4" s="11"/>
      <c r="M4" s="3"/>
      <c r="N4" s="43"/>
      <c r="O4" s="3"/>
      <c r="P4" s="1161" t="s">
        <v>3095</v>
      </c>
      <c r="Q4" s="6"/>
      <c r="R4" s="853" t="s">
        <v>2322</v>
      </c>
    </row>
    <row r="5" spans="1:19" ht="19.95" customHeight="1" x14ac:dyDescent="0.2">
      <c r="A5" s="3"/>
      <c r="B5" s="10"/>
      <c r="D5" s="93" t="str">
        <f>IF(VLOOKUP("KM62",Languages!$A:$D,1,TRUE)="KM62",VLOOKUP("KM62",Languages!$A:$D,Summary!$C$7,TRUE),NA())</f>
        <v xml:space="preserve"> NIST Cybersecurity (CSF v1.1) -viitekehyksen mukaisesti</v>
      </c>
      <c r="E5" s="73"/>
      <c r="F5" s="73"/>
      <c r="G5" s="73"/>
      <c r="H5" s="73"/>
      <c r="I5" s="73"/>
      <c r="J5" s="73"/>
      <c r="K5" s="51"/>
      <c r="L5" s="11"/>
      <c r="M5" s="3"/>
      <c r="N5" s="43"/>
      <c r="O5" s="3"/>
      <c r="P5" s="1161"/>
      <c r="Q5" s="6"/>
      <c r="R5" s="853" t="s">
        <v>2323</v>
      </c>
      <c r="S5" s="853" t="s">
        <v>2321</v>
      </c>
    </row>
    <row r="6" spans="1:19" ht="19.95" customHeight="1" x14ac:dyDescent="0.35">
      <c r="A6" s="3"/>
      <c r="B6" s="10"/>
      <c r="C6" s="34"/>
      <c r="D6" s="1268"/>
      <c r="E6" s="1268"/>
      <c r="F6" s="1268"/>
      <c r="G6" s="1268"/>
      <c r="H6" s="1268"/>
      <c r="I6" s="1268"/>
      <c r="J6" s="32"/>
      <c r="K6" s="32"/>
      <c r="L6" s="11"/>
      <c r="M6" s="3"/>
      <c r="N6" s="43"/>
      <c r="O6" s="3"/>
      <c r="P6" s="1161"/>
      <c r="Q6" s="6"/>
    </row>
    <row r="7" spans="1:19" s="17" customFormat="1" ht="300" customHeight="1" x14ac:dyDescent="0.35">
      <c r="A7" s="3"/>
      <c r="B7" s="38"/>
      <c r="C7" s="39"/>
      <c r="D7" s="69"/>
      <c r="E7" s="48"/>
      <c r="F7" s="32"/>
      <c r="G7" s="32"/>
      <c r="H7" s="32"/>
      <c r="I7" s="32"/>
      <c r="J7" s="41"/>
      <c r="K7" s="41"/>
      <c r="L7" s="11"/>
      <c r="M7" s="3"/>
      <c r="N7" s="43"/>
      <c r="O7" s="3"/>
      <c r="P7" s="1161"/>
      <c r="Q7" s="6"/>
    </row>
    <row r="8" spans="1:19" ht="34.950000000000003" customHeight="1" x14ac:dyDescent="0.25">
      <c r="A8" s="3"/>
      <c r="B8" s="27"/>
      <c r="C8" s="36"/>
      <c r="D8" s="66"/>
      <c r="E8" s="65"/>
      <c r="F8" s="63"/>
      <c r="G8" s="63"/>
      <c r="H8" s="63"/>
      <c r="I8" s="67"/>
      <c r="J8" s="64"/>
      <c r="K8" s="55"/>
      <c r="L8" s="29"/>
      <c r="M8" s="3"/>
      <c r="N8" s="43"/>
      <c r="O8" s="12"/>
      <c r="P8" s="1162"/>
      <c r="Q8" s="12"/>
    </row>
    <row r="9" spans="1:19" ht="19.95" customHeight="1" x14ac:dyDescent="0.25">
      <c r="A9" s="26"/>
      <c r="B9" s="27"/>
      <c r="C9" s="36"/>
      <c r="D9" s="66"/>
      <c r="E9" s="65"/>
      <c r="F9" s="63"/>
      <c r="G9" s="63"/>
      <c r="H9" s="63"/>
      <c r="I9" s="67"/>
      <c r="J9" s="64"/>
      <c r="K9" s="55"/>
      <c r="L9" s="29"/>
      <c r="M9" s="26"/>
      <c r="N9" s="45"/>
      <c r="O9" s="12"/>
      <c r="P9" s="12"/>
      <c r="Q9" s="12"/>
    </row>
    <row r="10" spans="1:19" ht="116.4" customHeight="1" x14ac:dyDescent="0.25">
      <c r="A10" s="26"/>
      <c r="B10" s="27"/>
      <c r="C10" s="36"/>
      <c r="D10" s="626" t="s">
        <v>1950</v>
      </c>
      <c r="E10" s="622" t="str">
        <f>IF(VLOOKUP($D10,Languages!$A:$D,1,TRUE)=$D10,VLOOKUP($D10,Languages!$A:$D,Summary!$C$7,TRUE),NA())</f>
        <v>Tunnistaminen</v>
      </c>
      <c r="F10" s="63"/>
      <c r="G10" s="623">
        <f ca="1">NISTmap!J7</f>
        <v>0</v>
      </c>
      <c r="H10" s="628">
        <f ca="1">IF($G10 &lt; Parameters!$B$4,0,IF($G10 &lt; Parameters!$B$5,1,IF($G10 &lt; Parameters!$B$6,2,3)))</f>
        <v>0</v>
      </c>
      <c r="I10" s="64" t="str">
        <f ca="1">IF(VLOOKUP(CONCATENATE($D10,"-",$H10),Languages!$A:$D,1,TRUE)=CONCATENATE($D10,"-",$H10),VLOOKUP(CONCATENATE($D10,"-",$H10),Languages!$A:$D,Summary!$C$7,TRUE),NA())</f>
        <v>Organisaatiolla on hyvin rajoittunut kyky tunnistaa ja hallita kyberturvallisuusriskejä järjestelmiin, henkilöstöön, suojattaviin kohteisiin, tietoihin ja kriittisiin palveluihin liittyen. Tyypillisesti tämä johtaa resurssien ja investointien tehottomaan kohdentamiseen sekä epäonnistumiseen niiden kriittisten palveluiden suojaamisessa, joista organisaatio tai ulkoiset tahot ovat riippuvaisia. On olemassa korkea todennäköisyys odottamattomaan kyberturvallisuushäiriöön, joka vaikuttaa merkittävästi organisaation ydinprosesseihin.</v>
      </c>
      <c r="J10" s="64"/>
      <c r="K10" s="55"/>
      <c r="L10" s="29"/>
      <c r="M10" s="26"/>
      <c r="N10" s="45"/>
    </row>
    <row r="11" spans="1:19" ht="19.95" customHeight="1" x14ac:dyDescent="0.25">
      <c r="A11" s="26"/>
      <c r="B11" s="27"/>
      <c r="C11" s="36"/>
      <c r="D11" s="627"/>
      <c r="E11" s="65"/>
      <c r="F11" s="63"/>
      <c r="G11" s="63"/>
      <c r="H11" s="629"/>
      <c r="I11" s="67"/>
      <c r="J11" s="64"/>
      <c r="K11" s="55"/>
      <c r="L11" s="29"/>
      <c r="M11" s="26"/>
      <c r="N11" s="45"/>
    </row>
    <row r="12" spans="1:19" ht="90" customHeight="1" x14ac:dyDescent="0.25">
      <c r="A12" s="26"/>
      <c r="B12" s="27"/>
      <c r="C12" s="36"/>
      <c r="D12" s="626" t="s">
        <v>1951</v>
      </c>
      <c r="E12" s="622" t="str">
        <f>IF(VLOOKUP($D12,Languages!$A:$D,1,TRUE)=$D12,VLOOKUP($D12,Languages!$A:$D,Summary!$C$7,TRUE),NA())</f>
        <v>Suojautuminen</v>
      </c>
      <c r="F12" s="63"/>
      <c r="G12" s="623">
        <f ca="1">NISTmap!K7</f>
        <v>0</v>
      </c>
      <c r="H12" s="628">
        <f ca="1">IF($G12 &lt; Parameters!$B$4,0,IF($G12 &lt; Parameters!$B$5,1,IF($G12 &lt; Parameters!$B$6,2,3)))</f>
        <v>0</v>
      </c>
      <c r="I12" s="64" t="str">
        <f ca="1">IF(VLOOKUP(CONCATENATE($D12,"-",$H12),Languages!$A:$D,1,TRUE)=CONCATENATE($D12,"-",$H12),VLOOKUP(CONCATENATE($D12,"-",$H12),Languages!$A:$D,Summary!$C$7,TRUE),NA())</f>
        <v>Organisaatiolla on hyvin rajoittunut kyky suojata sen kriittisiä palveluita kyberturvallisuusuhilta ja -häiriöiltä. Tyypillisesti tämä tarkoittaa, että organisaatio kohtaa suuria määriä häiriöitä ja/tai niiden vaikutukset ovat merkittävästi suurempia kuin on tarpeen, johtavat tarpeettoman suuriin mainevaikutuksiin, kustannuksiin ja sisäisiin/ulkoisiin vaikutuksiin. Tämä korostuu entisestään jos tunnistuskyvykkyys on alhainen.</v>
      </c>
      <c r="J12" s="64"/>
      <c r="K12" s="55"/>
      <c r="L12" s="29"/>
      <c r="M12" s="26"/>
      <c r="N12" s="45"/>
    </row>
    <row r="13" spans="1:19" ht="19.95" customHeight="1" x14ac:dyDescent="0.25">
      <c r="A13" s="26"/>
      <c r="B13" s="27"/>
      <c r="C13" s="36"/>
      <c r="D13" s="627"/>
      <c r="E13" s="65"/>
      <c r="F13" s="63"/>
      <c r="G13" s="63"/>
      <c r="H13" s="629"/>
      <c r="I13" s="67"/>
      <c r="J13" s="64"/>
      <c r="K13" s="55"/>
      <c r="L13" s="29"/>
      <c r="M13" s="26"/>
      <c r="N13" s="45"/>
    </row>
    <row r="14" spans="1:19" ht="94.2" customHeight="1" x14ac:dyDescent="0.25">
      <c r="A14" s="26"/>
      <c r="B14" s="27"/>
      <c r="C14" s="36"/>
      <c r="D14" s="626" t="s">
        <v>1952</v>
      </c>
      <c r="E14" s="622" t="str">
        <f>IF(VLOOKUP($D14,Languages!$A:$D,1,TRUE)=$D14,VLOOKUP($D14,Languages!$A:$D,Summary!$C$7,TRUE),NA())</f>
        <v>Havainnointi</v>
      </c>
      <c r="F14" s="63"/>
      <c r="G14" s="623">
        <f ca="1">NISTmap!L7</f>
        <v>0</v>
      </c>
      <c r="H14" s="628">
        <f ca="1">IF($G14 &lt; Parameters!$B$4,0,IF($G14 &lt; Parameters!$B$5,1,IF($G14 &lt; Parameters!$B$6,2,3)))</f>
        <v>0</v>
      </c>
      <c r="I14" s="64" t="str">
        <f ca="1">IF(VLOOKUP(CONCATENATE($D14,"-",$H14),Languages!$A:$D,1,TRUE)=CONCATENATE($D14,"-",$H14),VLOOKUP(CONCATENATE($D14,"-",$H14),Languages!$A:$D,Summary!$C$7,TRUE),NA())</f>
        <v>Organisaatiolla on hyvin rajoittunut kyky havaita kyberturvallisuushäiriöitä niiden tapahtuessa. Tyypillisesti tämä tarkoittaa, että torjuntatoimenpiteet viivästyvät merkittävästi ja tapahtuvat vasta merkittävän tietovuodon tai vahingon jälkeen. Hyökkääjän haluamat vaikutukset realisoituvat yleensä kokonaisuudessaan.</v>
      </c>
      <c r="J14" s="64"/>
      <c r="K14" s="55"/>
      <c r="L14" s="29"/>
      <c r="M14" s="26"/>
      <c r="N14" s="45"/>
    </row>
    <row r="15" spans="1:19" ht="19.95" customHeight="1" x14ac:dyDescent="0.25">
      <c r="A15" s="26"/>
      <c r="B15" s="27"/>
      <c r="C15" s="36"/>
      <c r="D15" s="627"/>
      <c r="E15" s="65"/>
      <c r="F15" s="63"/>
      <c r="G15" s="63"/>
      <c r="H15" s="629"/>
      <c r="I15" s="67"/>
      <c r="J15" s="64"/>
      <c r="K15" s="55"/>
      <c r="L15" s="29"/>
      <c r="M15" s="26"/>
      <c r="N15" s="45"/>
    </row>
    <row r="16" spans="1:19" ht="79.95" customHeight="1" x14ac:dyDescent="0.25">
      <c r="A16" s="26"/>
      <c r="B16" s="27"/>
      <c r="C16" s="36"/>
      <c r="D16" s="626" t="s">
        <v>1953</v>
      </c>
      <c r="E16" s="622" t="str">
        <f>IF(VLOOKUP($D16,Languages!$A:$D,1,TRUE)=$D16,VLOOKUP($D16,Languages!$A:$D,Summary!$C$7,TRUE),NA())</f>
        <v>Reagointi</v>
      </c>
      <c r="F16" s="63"/>
      <c r="G16" s="623">
        <f ca="1">NISTmap!M7</f>
        <v>0</v>
      </c>
      <c r="H16" s="628">
        <f ca="1">IF($G16 &lt; Parameters!$B$4,0,IF($G16 &lt; Parameters!$B$5,1,IF($G16 &lt; Parameters!$B$6,2,3)))</f>
        <v>0</v>
      </c>
      <c r="I16" s="64" t="str">
        <f ca="1">IF(VLOOKUP(CONCATENATE($D16,"-",$H16),Languages!$A:$D,1,TRUE)=CONCATENATE($D16,"-",$H16),VLOOKUP(CONCATENATE($D16,"-",$H16),Languages!$A:$D,Summary!$C$7,TRUE),NA())</f>
        <v>Organisaatiolla on hyvin rajoittunut kyky aloittaa oikea-aikaiset ja koordinoidut torjuntatoimenpiteet kyberhyökkäyksiin vastaamiseksi. Tyypillisesti tämä tarkoittaa, että vaikka hyökkäys on tunnistettu ajoissa on edelleen todennäköistä, että hyökkäystä ja vahinkoja ei voida estää tai rajoittaa.</v>
      </c>
      <c r="J16" s="64"/>
      <c r="K16" s="55"/>
      <c r="L16" s="29"/>
      <c r="M16" s="26"/>
      <c r="N16" s="45"/>
    </row>
    <row r="17" spans="1:17" ht="19.95" customHeight="1" x14ac:dyDescent="0.25">
      <c r="A17" s="26"/>
      <c r="B17" s="27"/>
      <c r="C17" s="36"/>
      <c r="D17" s="627"/>
      <c r="E17" s="65"/>
      <c r="F17" s="63"/>
      <c r="G17" s="63"/>
      <c r="H17" s="629"/>
      <c r="I17" s="67"/>
      <c r="J17" s="64"/>
      <c r="K17" s="55"/>
      <c r="L17" s="29"/>
      <c r="M17" s="26"/>
      <c r="N17" s="45"/>
    </row>
    <row r="18" spans="1:17" ht="79.95" customHeight="1" x14ac:dyDescent="0.25">
      <c r="A18" s="26"/>
      <c r="B18" s="27"/>
      <c r="C18" s="36"/>
      <c r="D18" s="626" t="s">
        <v>1954</v>
      </c>
      <c r="E18" s="622" t="str">
        <f>IF(VLOOKUP($D18,Languages!$A:$D,1,TRUE)=$D18,VLOOKUP($D18,Languages!$A:$D,Summary!$C$7,TRUE),NA())</f>
        <v>Palautuminen</v>
      </c>
      <c r="F18" s="63"/>
      <c r="G18" s="623">
        <f ca="1">NISTmap!N7</f>
        <v>0</v>
      </c>
      <c r="H18" s="628">
        <f ca="1">IF($G18 &lt; Parameters!$B$4,0,IF($G18 &lt; Parameters!$B$5,1,IF($G18 &lt; Parameters!$B$6,2,3)))</f>
        <v>0</v>
      </c>
      <c r="I18" s="64" t="str">
        <f ca="1">IF(VLOOKUP(CONCATENATE($D18,"-",$H18),Languages!$A:$D,1,TRUE)=CONCATENATE($D18,"-",$H18),VLOOKUP(CONCATENATE($D18,"-",$H18),Languages!$A:$D,Summary!$C$7,TRUE),NA())</f>
        <v>Organisaatiolla on hyvin rajoittunut kyky käynnistää ja toteuttaa tarvittavat palautumistoimenpiteet kyberhyökkäyksestä toipumiseen. Tyypillisesti tämä tarkoittaa, että toipuminen kestää pitkään ja sen seurauksena mainehaitta, kustannukset ja häiriön vaikutukset voivat kohota merkittävästi.</v>
      </c>
      <c r="J18" s="64"/>
      <c r="K18" s="55"/>
      <c r="L18" s="29"/>
      <c r="M18" s="26"/>
      <c r="N18" s="45"/>
    </row>
    <row r="19" spans="1:17" ht="22.95" customHeight="1" x14ac:dyDescent="0.25">
      <c r="A19" s="26"/>
      <c r="B19" s="27"/>
      <c r="C19" s="36"/>
      <c r="E19" s="623"/>
      <c r="F19" s="63"/>
      <c r="G19" s="623"/>
      <c r="H19" s="623"/>
      <c r="I19" s="64"/>
      <c r="J19" s="64"/>
      <c r="K19" s="55"/>
      <c r="L19" s="29"/>
      <c r="M19" s="26"/>
      <c r="N19" s="45"/>
    </row>
    <row r="20" spans="1:17" s="13" customFormat="1" ht="15" customHeight="1" x14ac:dyDescent="0.25">
      <c r="A20" s="12"/>
      <c r="B20" s="14"/>
      <c r="C20" s="18"/>
      <c r="D20" s="18"/>
      <c r="E20" s="50"/>
      <c r="F20" s="19"/>
      <c r="G20" s="19"/>
      <c r="H20" s="19"/>
      <c r="I20" s="19"/>
      <c r="J20" s="19"/>
      <c r="K20" s="19"/>
      <c r="L20" s="15"/>
      <c r="M20" s="12"/>
      <c r="N20" s="42"/>
      <c r="O20" s="80"/>
      <c r="P20" s="80"/>
      <c r="Q20" s="80"/>
    </row>
    <row r="21" spans="1:17" s="13" customFormat="1" ht="18" customHeight="1" x14ac:dyDescent="0.25">
      <c r="A21" s="12"/>
      <c r="B21" s="12"/>
      <c r="C21" s="12"/>
      <c r="D21" s="16"/>
      <c r="E21" s="16"/>
      <c r="F21" s="12"/>
      <c r="G21" s="12"/>
      <c r="H21" s="12"/>
      <c r="I21" s="12"/>
      <c r="J21" s="12"/>
      <c r="K21" s="12"/>
      <c r="L21" s="12"/>
      <c r="M21" s="12"/>
      <c r="N21" s="42"/>
      <c r="O21" s="80"/>
      <c r="P21" s="80"/>
      <c r="Q21" s="80"/>
    </row>
  </sheetData>
  <sheetProtection sheet="1" formatCells="0" formatColumns="0" formatRows="0"/>
  <mergeCells count="2">
    <mergeCell ref="D6:I6"/>
    <mergeCell ref="P4:P8"/>
  </mergeCells>
  <pageMargins left="0.70866141732283472" right="0.70866141732283472" top="0.74803149606299213" bottom="0.74803149606299213" header="0.31496062992125984" footer="0.31496062992125984"/>
  <pageSetup paperSize="9" scale="50"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0058B1"/>
  </sheetPr>
  <dimension ref="A1:O47"/>
  <sheetViews>
    <sheetView showGridLines="0" zoomScale="80" zoomScaleNormal="80" zoomScalePageLayoutView="70" workbookViewId="0"/>
  </sheetViews>
  <sheetFormatPr defaultColWidth="9.26953125" defaultRowHeight="18" customHeight="1" x14ac:dyDescent="0.25"/>
  <cols>
    <col min="1" max="2" width="1.6328125" style="5" customWidth="1"/>
    <col min="3" max="3" width="2.6328125" style="5" customWidth="1"/>
    <col min="4" max="4" width="50.6328125" style="13" customWidth="1"/>
    <col min="5" max="5" width="15.6328125" style="47" customWidth="1"/>
    <col min="6" max="6" width="5.6328125" style="5" customWidth="1"/>
    <col min="7" max="7" width="50.6328125" style="5" customWidth="1"/>
    <col min="8" max="8" width="15.6328125" style="5" customWidth="1"/>
    <col min="9" max="9" width="2.6328125" style="5" customWidth="1"/>
    <col min="10" max="10" width="1.6328125" style="5" customWidth="1"/>
    <col min="11" max="11" width="1.6328125" style="13" customWidth="1"/>
    <col min="12" max="12" width="2.6328125" style="46" customWidth="1"/>
    <col min="13" max="13" width="1.6328125" style="77" customWidth="1"/>
    <col min="14" max="14" width="80.6328125" style="77" customWidth="1"/>
    <col min="15" max="15" width="1.6328125" style="77" customWidth="1"/>
    <col min="16" max="16384" width="9.26953125" style="5"/>
  </cols>
  <sheetData>
    <row r="1" spans="1:15" ht="13.5" customHeight="1" x14ac:dyDescent="0.25">
      <c r="A1" s="3"/>
      <c r="B1" s="3"/>
      <c r="C1" s="3"/>
      <c r="D1" s="4"/>
      <c r="E1" s="4"/>
      <c r="F1" s="3"/>
      <c r="G1" s="3"/>
      <c r="H1" s="3"/>
      <c r="I1" s="3"/>
      <c r="J1" s="3"/>
      <c r="K1" s="3"/>
      <c r="L1" s="43"/>
      <c r="M1" s="3"/>
      <c r="N1" s="3"/>
      <c r="O1" s="3"/>
    </row>
    <row r="2" spans="1:15" s="9" customFormat="1" ht="18" customHeight="1" x14ac:dyDescent="0.25">
      <c r="A2" s="6"/>
      <c r="B2" s="7"/>
      <c r="C2" s="35"/>
      <c r="D2" s="35"/>
      <c r="E2" s="49"/>
      <c r="F2" s="35"/>
      <c r="G2" s="35"/>
      <c r="H2" s="35"/>
      <c r="I2" s="35"/>
      <c r="J2" s="8"/>
      <c r="K2" s="6"/>
      <c r="L2" s="44"/>
      <c r="M2" s="6"/>
      <c r="N2" s="913" t="s">
        <v>2307</v>
      </c>
      <c r="O2" s="6"/>
    </row>
    <row r="3" spans="1:15" ht="18" customHeight="1" x14ac:dyDescent="0.25">
      <c r="A3" s="3"/>
      <c r="B3" s="10"/>
      <c r="D3" s="72" t="s">
        <v>477</v>
      </c>
      <c r="E3" s="72"/>
      <c r="F3" s="72"/>
      <c r="G3" s="72"/>
      <c r="H3" s="72"/>
      <c r="I3" s="52"/>
      <c r="J3" s="11"/>
      <c r="K3" s="3"/>
      <c r="L3" s="43"/>
      <c r="M3" s="3"/>
      <c r="N3" s="914"/>
      <c r="O3" s="6"/>
    </row>
    <row r="4" spans="1:15" ht="34.950000000000003" customHeight="1" x14ac:dyDescent="0.2">
      <c r="A4" s="3"/>
      <c r="B4" s="10"/>
      <c r="D4" s="71" t="str">
        <f>IF(VLOOKUP("KM70",Languages!$A:$D,1,TRUE)="KM70",VLOOKUP("KM70",Languages!$A:$D,Summary!$C$7,TRUE),NA())</f>
        <v>Kyberturvallisuuden kypsyystaso</v>
      </c>
      <c r="E4" s="73"/>
      <c r="F4" s="73"/>
      <c r="G4" s="73"/>
      <c r="H4" s="73"/>
      <c r="I4" s="51"/>
      <c r="J4" s="11"/>
      <c r="K4" s="3"/>
      <c r="L4" s="43"/>
      <c r="M4" s="3"/>
      <c r="N4" s="1161" t="s">
        <v>3099</v>
      </c>
      <c r="O4" s="6"/>
    </row>
    <row r="5" spans="1:15" ht="19.95" customHeight="1" x14ac:dyDescent="0.2">
      <c r="A5" s="3"/>
      <c r="B5" s="10"/>
      <c r="D5" s="93" t="str">
        <f>IF(VLOOKUP("KM63",Languages!$A:$D,1,TRUE)="KM63",VLOOKUP("KM63",Languages!$A:$D,Summary!$C$7,TRUE),NA())</f>
        <v xml:space="preserve"> Kyberturvallisuuden osioiden mukaisesti</v>
      </c>
      <c r="E5" s="73"/>
      <c r="F5" s="73"/>
      <c r="G5" s="73"/>
      <c r="H5" s="73"/>
      <c r="I5" s="51"/>
      <c r="J5" s="11"/>
      <c r="K5" s="3"/>
      <c r="L5" s="43"/>
      <c r="M5" s="3"/>
      <c r="N5" s="1161"/>
      <c r="O5" s="6"/>
    </row>
    <row r="6" spans="1:15" ht="19.95" customHeight="1" x14ac:dyDescent="0.35">
      <c r="A6" s="3"/>
      <c r="B6" s="10"/>
      <c r="C6" s="34"/>
      <c r="D6" s="1268"/>
      <c r="E6" s="1268"/>
      <c r="F6" s="1268"/>
      <c r="G6" s="1268"/>
      <c r="H6" s="32"/>
      <c r="I6" s="32"/>
      <c r="J6" s="11"/>
      <c r="K6" s="3"/>
      <c r="L6" s="43"/>
      <c r="M6" s="3"/>
      <c r="N6" s="1161"/>
      <c r="O6" s="6"/>
    </row>
    <row r="7" spans="1:15" s="17" customFormat="1" ht="300" customHeight="1" x14ac:dyDescent="0.35">
      <c r="A7" s="3"/>
      <c r="B7" s="38"/>
      <c r="C7" s="39"/>
      <c r="D7" s="69"/>
      <c r="E7" s="48"/>
      <c r="F7" s="32"/>
      <c r="G7" s="32"/>
      <c r="H7" s="41"/>
      <c r="I7" s="41"/>
      <c r="J7" s="40"/>
      <c r="K7" s="3"/>
      <c r="L7" s="43"/>
      <c r="M7" s="3"/>
      <c r="N7" s="1161"/>
      <c r="O7" s="6"/>
    </row>
    <row r="8" spans="1:15" ht="34.950000000000003" customHeight="1" x14ac:dyDescent="0.25">
      <c r="A8" s="3"/>
      <c r="B8" s="27"/>
      <c r="C8" s="36"/>
      <c r="D8" s="66"/>
      <c r="E8" s="65"/>
      <c r="F8" s="63"/>
      <c r="G8" s="67"/>
      <c r="H8" s="64"/>
      <c r="I8" s="55"/>
      <c r="J8" s="29"/>
      <c r="K8" s="3"/>
      <c r="L8" s="43"/>
      <c r="M8" s="12"/>
      <c r="N8" s="1162"/>
      <c r="O8" s="12"/>
    </row>
    <row r="9" spans="1:15" ht="19.95" customHeight="1" x14ac:dyDescent="0.25">
      <c r="A9" s="26"/>
      <c r="B9" s="27"/>
      <c r="C9" s="36"/>
      <c r="D9" s="66"/>
      <c r="E9" s="65"/>
      <c r="F9" s="63"/>
      <c r="G9" s="67"/>
      <c r="H9" s="64"/>
      <c r="I9" s="55"/>
      <c r="J9" s="29"/>
      <c r="K9" s="26"/>
      <c r="L9" s="45"/>
      <c r="M9" s="12"/>
      <c r="N9" s="12"/>
      <c r="O9" s="12"/>
    </row>
    <row r="10" spans="1:15" s="17" customFormat="1" ht="19.95" customHeight="1" x14ac:dyDescent="0.25">
      <c r="A10" s="3"/>
      <c r="B10" s="85"/>
      <c r="C10" s="81" t="s">
        <v>57</v>
      </c>
      <c r="D10" s="89" t="str">
        <f>IF(VLOOKUP(C10,Languages!$A:$D,1,TRUE)=C10,VLOOKUP(C10,Languages!$A:$D,Summary!$C$7,TRUE),NA())</f>
        <v>Kriittisten palveluiden suojaaminen (CRITICAL)</v>
      </c>
      <c r="E10" s="90" t="str">
        <f ca="1">VLOOKUP(VLOOKUP(CONCATENATE(C10),Data!$K:$O,5,FALSE),Parameters!$C$7:$F$10,Summary!$C$7,FALSE)</f>
        <v>Kypsyystaso 0</v>
      </c>
      <c r="F10" s="81" t="s">
        <v>71</v>
      </c>
      <c r="G10" s="89" t="str">
        <f>IF(VLOOKUP(F10,Languages!$A:$D,1,TRUE)=F10,VLOOKUP(F10,Languages!$A:$D,Summary!$C$7,TRUE),NA())</f>
        <v>Tapahtumien ja häiriöiden hallinta, toiminnan jatkuvuus (RESPONSE)</v>
      </c>
      <c r="H10" s="90" t="str">
        <f ca="1">VLOOKUP(VLOOKUP(CONCATENATE(F10),Data!$K:$O,5,FALSE),Parameters!$C$7:$F$10,Summary!$C$7,FALSE)</f>
        <v>Kypsyystaso 0</v>
      </c>
      <c r="I10" s="53"/>
      <c r="J10" s="54"/>
      <c r="K10" s="3"/>
      <c r="L10" s="45"/>
      <c r="M10" s="77"/>
      <c r="N10" s="77"/>
      <c r="O10" s="77"/>
    </row>
    <row r="11" spans="1:15" s="17" customFormat="1" ht="19.95" customHeight="1" x14ac:dyDescent="0.25">
      <c r="A11" s="3"/>
      <c r="B11" s="86" t="s">
        <v>57</v>
      </c>
      <c r="C11" s="87">
        <v>1</v>
      </c>
      <c r="D11" s="61" t="str">
        <f>IF(VLOOKUP(CONCATENATE(B11,"-",C11),Languages!$A:$D,1,TRUE)=CONCATENATE(B11,"-",C11),VLOOKUP(CONCATENATE(B11,"-",C11),Languages!$A:$D,Summary!$C$7,TRUE),NA())</f>
        <v>Kriittisten palveluiden ja niiden riippuvuuksien tunnistaminen</v>
      </c>
      <c r="E11" s="62" t="str">
        <f ca="1">VLOOKUP(VLOOKUP(CONCATENATE(B11,"-",C11),Data!$K:$O,5,FALSE),Parameters!$C$7:$F$10,Summary!$C$7,FALSE)</f>
        <v>Kypsyystaso 0</v>
      </c>
      <c r="F11" s="88">
        <v>1</v>
      </c>
      <c r="G11" s="61" t="str">
        <f>IF(VLOOKUP(CONCATENATE(I11,"-",F11),Languages!$A:$D,1,TRUE)=CONCATENATE(I11,"-",F11),VLOOKUP(CONCATENATE(I11,"-",F11),Languages!$A:$D,Summary!$C$7,TRUE),NA())</f>
        <v>Tapahtumien havainnointi</v>
      </c>
      <c r="H11" s="62" t="str">
        <f ca="1">VLOOKUP(VLOOKUP(CONCATENATE(I11,"-",F11),Data!$K:$O,5,FALSE),Parameters!$C$7:$F$10,Summary!$C$7,FALSE)</f>
        <v>Kypsyystaso 0</v>
      </c>
      <c r="I11" s="82" t="s">
        <v>71</v>
      </c>
      <c r="J11" s="54"/>
      <c r="K11" s="3"/>
      <c r="L11" s="45"/>
      <c r="M11" s="77"/>
      <c r="N11" s="77"/>
      <c r="O11" s="77"/>
    </row>
    <row r="12" spans="1:15" s="17" customFormat="1" ht="19.95" customHeight="1" x14ac:dyDescent="0.25">
      <c r="A12" s="3"/>
      <c r="B12" s="86" t="s">
        <v>57</v>
      </c>
      <c r="C12" s="87">
        <v>2</v>
      </c>
      <c r="D12" s="61" t="str">
        <f>IF(VLOOKUP(CONCATENATE(B12,"-",C12),Languages!$A:$D,1,TRUE)=CONCATENATE(B12,"-",C12),VLOOKUP(CONCATENATE(B12,"-",C12),Languages!$A:$D,Summary!$C$7,TRUE),NA())</f>
        <v>Kriittisten palveluiden hallinta</v>
      </c>
      <c r="E12" s="62" t="str">
        <f ca="1">VLOOKUP(VLOOKUP(CONCATENATE(B12,"-",C12),Data!$K:$O,5,FALSE),Parameters!$C$7:$F$10,Summary!$C$7,FALSE)</f>
        <v>Kypsyystaso 0</v>
      </c>
      <c r="F12" s="88">
        <v>2</v>
      </c>
      <c r="G12" s="61" t="str">
        <f>IF(VLOOKUP(CONCATENATE(I12,"-",F12),Languages!$A:$D,1,TRUE)=CONCATENATE(I12,"-",F12),VLOOKUP(CONCATENATE(I12,"-",F12),Languages!$A:$D,Summary!$C$7,TRUE),NA())</f>
        <v>Tapahtumien analysointi ja häiriötilanteiden määrittäminen</v>
      </c>
      <c r="H12" s="62" t="str">
        <f ca="1">VLOOKUP(VLOOKUP(CONCATENATE(I12,"-",F12),Data!$K:$O,5,FALSE),Parameters!$C$7:$F$10,Summary!$C$7,FALSE)</f>
        <v>Kypsyystaso 0</v>
      </c>
      <c r="I12" s="82" t="s">
        <v>71</v>
      </c>
      <c r="J12" s="54"/>
      <c r="K12" s="3"/>
      <c r="L12" s="45"/>
      <c r="M12" s="77"/>
      <c r="N12" s="77"/>
      <c r="O12" s="77"/>
    </row>
    <row r="13" spans="1:15" s="17" customFormat="1" ht="19.95" customHeight="1" x14ac:dyDescent="0.25">
      <c r="A13" s="3"/>
      <c r="B13" s="86" t="s">
        <v>57</v>
      </c>
      <c r="C13" s="87">
        <v>3</v>
      </c>
      <c r="D13" s="61" t="str">
        <f>IF(VLOOKUP(CONCATENATE(B13,"-",C13),Languages!$A:$D,1,TRUE)=CONCATENATE(B13,"-",C13),VLOOKUP(CONCATENATE(B13,"-",C13),Languages!$A:$D,Summary!$C$7,TRUE),NA())</f>
        <v>Kriittisten palveluiden kyberhäiriöiden vaikutusten minimointi</v>
      </c>
      <c r="E13" s="62" t="str">
        <f ca="1">VLOOKUP(VLOOKUP(CONCATENATE(B13,"-",C13),Data!$K:$O,5,FALSE),Parameters!$C$7:$F$10,Summary!$C$7,FALSE)</f>
        <v>Kypsyystaso 0</v>
      </c>
      <c r="F13" s="88">
        <v>3</v>
      </c>
      <c r="G13" s="61" t="str">
        <f>IF(VLOOKUP(CONCATENATE(I13,"-",F13),Languages!$A:$D,1,TRUE)=CONCATENATE(I13,"-",F13),VLOOKUP(CONCATENATE(I13,"-",F13),Languages!$A:$D,Summary!$C$7,TRUE),NA())</f>
        <v>Tapahtumiin ja häiriöihin reagoiminen</v>
      </c>
      <c r="H13" s="62" t="str">
        <f ca="1">VLOOKUP(VLOOKUP(CONCATENATE(I13,"-",F13),Data!$K:$O,5,FALSE),Parameters!$C$7:$F$10,Summary!$C$7,FALSE)</f>
        <v>Kypsyystaso 0</v>
      </c>
      <c r="I13" s="82" t="s">
        <v>71</v>
      </c>
      <c r="J13" s="54"/>
      <c r="K13" s="3"/>
      <c r="L13" s="45"/>
      <c r="M13" s="77"/>
      <c r="N13" s="77"/>
      <c r="O13" s="77"/>
    </row>
    <row r="14" spans="1:15" ht="19.95" customHeight="1" x14ac:dyDescent="0.25">
      <c r="A14" s="3"/>
      <c r="B14" s="86"/>
      <c r="C14" s="87"/>
      <c r="D14" s="57"/>
      <c r="E14" s="56"/>
      <c r="F14" s="75">
        <v>4</v>
      </c>
      <c r="G14" s="61" t="str">
        <f>IF(VLOOKUP(CONCATENATE(I14,"-",F14),Languages!$A:$D,1,TRUE)=CONCATENATE(I14,"-",F14),VLOOKUP(CONCATENATE(I14,"-",F14),Languages!$A:$D,Summary!$C$7,TRUE),NA())</f>
        <v>Kyberturvallisuus osana toiminnan jatkuvuutta</v>
      </c>
      <c r="H14" s="62" t="str">
        <f ca="1">VLOOKUP(VLOOKUP(CONCATENATE(I14,"-",F14),Data!$K:$O,5,FALSE),Parameters!$C$7:$F$10,Summary!$C$7,FALSE)</f>
        <v>Kypsyystaso 0</v>
      </c>
      <c r="I14" s="82" t="s">
        <v>71</v>
      </c>
      <c r="J14" s="29"/>
      <c r="K14" s="3"/>
      <c r="L14" s="45"/>
    </row>
    <row r="15" spans="1:15" ht="19.95" customHeight="1" x14ac:dyDescent="0.25">
      <c r="A15" s="3"/>
      <c r="B15" s="86"/>
      <c r="C15" s="81" t="s">
        <v>48</v>
      </c>
      <c r="D15" s="89" t="str">
        <f>IF(VLOOKUP(C15,Languages!$A:$D,1,TRUE)=C15,VLOOKUP(C15,Languages!$A:$D,Summary!$C$7,TRUE),NA())</f>
        <v>Omaisuuden, muutosten ja konfiguraation hallinta (ASSET)</v>
      </c>
      <c r="E15" s="90" t="str">
        <f ca="1">VLOOKUP(VLOOKUP(CONCATENATE(C15),Data!$K:$O,5,FALSE),Parameters!$C$7:$F$10,Summary!$C$7,FALSE)</f>
        <v>Kypsyystaso 0</v>
      </c>
      <c r="F15" s="75">
        <v>5</v>
      </c>
      <c r="G15" s="61" t="str">
        <f>IF(VLOOKUP(CONCATENATE(I15,"-",F15),Languages!$A:$D,1,TRUE)=CONCATENATE(I15,"-",F15),VLOOKUP(CONCATENATE(I15,"-",F15),Languages!$A:$D,Summary!$C$7,TRUE),NA())</f>
        <v>Yleisiä hallintatoimia</v>
      </c>
      <c r="H15" s="62" t="str">
        <f ca="1">VLOOKUP(VLOOKUP(CONCATENATE(I15,"-",F15),Data!$K:$O,5,FALSE),Parameters!$C$7:$F$10,Summary!$C$7,FALSE)</f>
        <v>Kypsyystaso 1</v>
      </c>
      <c r="I15" s="82" t="s">
        <v>71</v>
      </c>
      <c r="J15" s="29"/>
      <c r="K15" s="3"/>
      <c r="L15" s="45"/>
    </row>
    <row r="16" spans="1:15" ht="19.95" customHeight="1" x14ac:dyDescent="0.25">
      <c r="A16" s="3"/>
      <c r="B16" s="86" t="s">
        <v>48</v>
      </c>
      <c r="C16" s="87">
        <v>1</v>
      </c>
      <c r="D16" s="61" t="str">
        <f>IF(VLOOKUP(CONCATENATE(B16,"-",C16),Languages!$A:$D,1,TRUE)=CONCATENATE(B16,"-",C16),VLOOKUP(CONCATENATE(B16,"-",C16),Languages!$A:$D,Summary!$C$7,TRUE),NA())</f>
        <v>Laitteiden ja ohjelmistojen hallinta</v>
      </c>
      <c r="E16" s="62" t="str">
        <f ca="1">VLOOKUP(VLOOKUP(CONCATENATE(B16,"-",C16),Data!$K:$O,5,FALSE),Parameters!$C$7:$F$10,Summary!$C$7,FALSE)</f>
        <v>Kypsyystaso 0</v>
      </c>
      <c r="F16" s="81" t="s">
        <v>1145</v>
      </c>
      <c r="J16" s="29"/>
      <c r="K16" s="3"/>
      <c r="L16" s="45"/>
    </row>
    <row r="17" spans="1:15" ht="19.95" customHeight="1" x14ac:dyDescent="0.25">
      <c r="A17" s="3"/>
      <c r="B17" s="86" t="s">
        <v>48</v>
      </c>
      <c r="C17" s="87">
        <v>2</v>
      </c>
      <c r="D17" s="61" t="str">
        <f>IF(VLOOKUP(CONCATENATE(B17,"-",C17),Languages!$A:$D,1,TRUE)=CONCATENATE(B17,"-",C17),VLOOKUP(CONCATENATE(B17,"-",C17),Languages!$A:$D,Summary!$C$7,TRUE),NA())</f>
        <v>Tietovarantojen hallinta</v>
      </c>
      <c r="E17" s="62" t="str">
        <f ca="1">VLOOKUP(VLOOKUP(CONCATENATE(B17,"-",C17),Data!$K:$O,5,FALSE),Parameters!$C$7:$F$10,Summary!$C$7,FALSE)</f>
        <v>Kypsyystaso 0</v>
      </c>
      <c r="G17" s="89" t="str">
        <f>IF(VLOOKUP(F16,Languages!$A:$D,1,TRUE)=F16,VLOOKUP(F16,Languages!$A:$D,Summary!$C$7,TRUE),NA())</f>
        <v>Kumppaniverkoston riskien hallinta (THIRDPARTY)</v>
      </c>
      <c r="H17" s="90" t="str">
        <f ca="1">VLOOKUP(VLOOKUP(CONCATENATE(F16),Data!$K:$O,5,FALSE),Parameters!$C$7:$F$10,Summary!$C$7,FALSE)</f>
        <v>Kypsyystaso 0</v>
      </c>
      <c r="I17" s="68"/>
      <c r="J17" s="29"/>
      <c r="K17" s="3"/>
      <c r="L17" s="45"/>
    </row>
    <row r="18" spans="1:15" ht="19.95" customHeight="1" x14ac:dyDescent="0.25">
      <c r="A18" s="3"/>
      <c r="B18" s="86" t="s">
        <v>48</v>
      </c>
      <c r="C18" s="87">
        <v>3</v>
      </c>
      <c r="D18" s="61" t="str">
        <f>IF(VLOOKUP(CONCATENATE(B18,"-",C18),Languages!$A:$D,1,TRUE)=CONCATENATE(B18,"-",C18),VLOOKUP(CONCATENATE(B18,"-",C18),Languages!$A:$D,Summary!$C$7,TRUE),NA())</f>
        <v>Konfiguraation hallinta</v>
      </c>
      <c r="E18" s="62" t="str">
        <f ca="1">VLOOKUP(VLOOKUP(CONCATENATE(B18,"-",C18),Data!$K:$O,5,FALSE),Parameters!$C$7:$F$10,Summary!$C$7,FALSE)</f>
        <v>Kypsyystaso 0</v>
      </c>
      <c r="F18" s="88">
        <v>1</v>
      </c>
      <c r="G18" s="61" t="str">
        <f>IF(VLOOKUP(CONCATENATE(I18,"-",F18),Languages!$A:$D,1,TRUE)=CONCATENATE(I18,"-",F18),VLOOKUP(CONCATENATE(I18,"-",F18),Languages!$A:$D,Summary!$C$7,TRUE),NA())</f>
        <v>Kumppaniverkoston tunnistaminen ja priorisointi</v>
      </c>
      <c r="H18" s="62" t="str">
        <f ca="1">VLOOKUP(VLOOKUP(CONCATENATE(I18,"-",F18),Data!$K:$O,5,FALSE),Parameters!$C$7:$F$10,Summary!$C$7,FALSE)</f>
        <v>Kypsyystaso 0</v>
      </c>
      <c r="I18" s="82" t="s">
        <v>1145</v>
      </c>
      <c r="J18" s="29"/>
      <c r="K18" s="3"/>
      <c r="L18" s="45"/>
    </row>
    <row r="19" spans="1:15" ht="19.95" customHeight="1" x14ac:dyDescent="0.25">
      <c r="A19" s="3"/>
      <c r="B19" s="86" t="s">
        <v>48</v>
      </c>
      <c r="C19" s="87">
        <v>4</v>
      </c>
      <c r="D19" s="61" t="str">
        <f>IF(VLOOKUP(CONCATENATE(B19,"-",C19),Languages!$A:$D,1,TRUE)=CONCATENATE(B19,"-",C19),VLOOKUP(CONCATENATE(B19,"-",C19),Languages!$A:$D,Summary!$C$7,TRUE),NA())</f>
        <v>Muutoksenhallinta</v>
      </c>
      <c r="E19" s="62" t="str">
        <f ca="1">VLOOKUP(VLOOKUP(CONCATENATE(B19,"-",C19),Data!$K:$O,5,FALSE),Parameters!$C$7:$F$10,Summary!$C$7,FALSE)</f>
        <v>Kypsyystaso 0</v>
      </c>
      <c r="F19" s="88">
        <v>2</v>
      </c>
      <c r="G19" s="61" t="str">
        <f>IF(VLOOKUP(CONCATENATE(I19,"-",F19),Languages!$A:$D,1,TRUE)=CONCATENATE(I19,"-",F19),VLOOKUP(CONCATENATE(I19,"-",F19),Languages!$A:$D,Summary!$C$7,TRUE),NA())</f>
        <v>Kumppaniverkostoon liittyvien riskien hallinta</v>
      </c>
      <c r="H19" s="62" t="str">
        <f ca="1">VLOOKUP(VLOOKUP(CONCATENATE(I19,"-",F19),Data!$K:$O,5,FALSE),Parameters!$C$7:$F$10,Summary!$C$7,FALSE)</f>
        <v>Kypsyystaso 0</v>
      </c>
      <c r="I19" s="82" t="s">
        <v>1145</v>
      </c>
      <c r="J19" s="29"/>
      <c r="K19" s="3"/>
      <c r="L19" s="45"/>
    </row>
    <row r="20" spans="1:15" ht="19.95" customHeight="1" x14ac:dyDescent="0.25">
      <c r="A20" s="3"/>
      <c r="B20" s="86" t="s">
        <v>48</v>
      </c>
      <c r="C20" s="81">
        <v>5</v>
      </c>
      <c r="D20" s="61" t="str">
        <f>IF(VLOOKUP(CONCATENATE(B20,"-",C20),Languages!$A:$D,1,TRUE)=CONCATENATE(B20,"-",C20),VLOOKUP(CONCATENATE(B20,"-",C20),Languages!$A:$D,Summary!$C$7,TRUE),NA())</f>
        <v>Yleisiä hallintatoimia</v>
      </c>
      <c r="E20" s="62" t="str">
        <f ca="1">VLOOKUP(VLOOKUP(CONCATENATE(B20,"-",C20),Data!$K:$O,5,FALSE),Parameters!$C$7:$F$10,Summary!$C$7,FALSE)</f>
        <v>Kypsyystaso 1</v>
      </c>
      <c r="F20" s="88">
        <v>3</v>
      </c>
      <c r="G20" s="61" t="str">
        <f>IF(VLOOKUP(CONCATENATE(I20,"-",F20),Languages!$A:$D,1,TRUE)=CONCATENATE(I20,"-",F20),VLOOKUP(CONCATENATE(I20,"-",F20),Languages!$A:$D,Summary!$C$7,TRUE),NA())</f>
        <v>Yleisiä hallintatoimia</v>
      </c>
      <c r="H20" s="62" t="str">
        <f ca="1">VLOOKUP(VLOOKUP(CONCATENATE(I20,"-",F20),Data!$K:$O,5,FALSE),Parameters!$C$7:$F$10,Summary!$C$7,FALSE)</f>
        <v>Kypsyystaso 1</v>
      </c>
      <c r="I20" s="82" t="s">
        <v>1145</v>
      </c>
      <c r="J20" s="29"/>
      <c r="K20" s="3"/>
      <c r="L20" s="42"/>
      <c r="M20" s="80"/>
      <c r="N20" s="80"/>
      <c r="O20" s="80"/>
    </row>
    <row r="21" spans="1:15" ht="19.95" customHeight="1" x14ac:dyDescent="0.25">
      <c r="A21" s="3"/>
      <c r="B21" s="86"/>
      <c r="C21" s="87"/>
      <c r="F21" s="75"/>
      <c r="G21" s="61"/>
      <c r="H21" s="62"/>
      <c r="I21" s="82"/>
      <c r="J21" s="29"/>
      <c r="K21" s="3"/>
      <c r="L21" s="42"/>
      <c r="M21" s="80"/>
      <c r="N21" s="80"/>
      <c r="O21" s="80"/>
    </row>
    <row r="22" spans="1:15" ht="19.95" customHeight="1" x14ac:dyDescent="0.25">
      <c r="A22" s="3"/>
      <c r="B22" s="86"/>
      <c r="C22" s="87" t="s">
        <v>66</v>
      </c>
      <c r="D22" s="89" t="str">
        <f>IF(VLOOKUP(C22,Languages!$A:$D,1,TRUE)=C22,VLOOKUP(C22,Languages!$A:$D,Summary!$C$7,TRUE),NA())</f>
        <v>Uhkien ja haavoittuvuuksien hallinta (THREAT)</v>
      </c>
      <c r="E22" s="90" t="str">
        <f ca="1">VLOOKUP(VLOOKUP(CONCATENATE(C22),Data!$K:$O,5,FALSE),Parameters!$C$7:$F$10,Summary!$C$7,FALSE)</f>
        <v>Kypsyystaso 0</v>
      </c>
      <c r="F22" s="81" t="s">
        <v>77</v>
      </c>
      <c r="G22" s="89" t="str">
        <f>IF(VLOOKUP(F22,Languages!$A:$D,1,TRUE)=F22,VLOOKUP(F22,Languages!$A:$D,Summary!$C$7,TRUE),NA())</f>
        <v>Henkilöstön johtaminen ja kehittäminen (WORKFORCE)</v>
      </c>
      <c r="H22" s="90" t="str">
        <f ca="1">VLOOKUP(VLOOKUP(CONCATENATE(F22),Data!$K:$O,5,FALSE),Parameters!$C$7:$F$10,Summary!$C$7,FALSE)</f>
        <v>Kypsyystaso 0</v>
      </c>
      <c r="I22" s="68"/>
      <c r="J22" s="29"/>
      <c r="K22" s="3"/>
    </row>
    <row r="23" spans="1:15" ht="19.95" customHeight="1" x14ac:dyDescent="0.25">
      <c r="A23" s="3"/>
      <c r="B23" s="86" t="s">
        <v>66</v>
      </c>
      <c r="C23" s="87">
        <v>1</v>
      </c>
      <c r="D23" s="61" t="str">
        <f>IF(VLOOKUP(CONCATENATE(B23,"-",C23),Languages!$A:$D,1,TRUE)=CONCATENATE(B23,"-",C23),VLOOKUP(CONCATENATE(B23,"-",C23),Languages!$A:$D,Summary!$C$7,TRUE),NA())</f>
        <v>Haavoittuvuuksien vähentäminen</v>
      </c>
      <c r="E23" s="62" t="str">
        <f ca="1">VLOOKUP(VLOOKUP(CONCATENATE(B23,"-",C23),Data!$K:$O,5,FALSE),Parameters!$C$7:$F$10,Summary!$C$7,FALSE)</f>
        <v>Kypsyystaso 0</v>
      </c>
      <c r="F23" s="88">
        <v>1</v>
      </c>
      <c r="G23" s="61" t="str">
        <f>IF(VLOOKUP(CONCATENATE(I23,"-",F23),Languages!$A:$D,1,TRUE)=CONCATENATE(I23,"-",F23),VLOOKUP(CONCATENATE(I23,"-",F23),Languages!$A:$D,Summary!$C$7,TRUE),NA())</f>
        <v>Kyberturvallisuuden vastuiden jakaminen</v>
      </c>
      <c r="H23" s="62" t="str">
        <f ca="1">VLOOKUP(VLOOKUP(CONCATENATE(I23,"-",F23),Data!$K:$O,5,FALSE),Parameters!$C$7:$F$10,Summary!$C$7,FALSE)</f>
        <v>Kypsyystaso 0</v>
      </c>
      <c r="I23" s="82" t="s">
        <v>77</v>
      </c>
      <c r="J23" s="29"/>
      <c r="K23" s="3"/>
    </row>
    <row r="24" spans="1:15" ht="19.95" customHeight="1" x14ac:dyDescent="0.25">
      <c r="A24" s="3"/>
      <c r="B24" s="86" t="s">
        <v>66</v>
      </c>
      <c r="C24" s="87">
        <v>2</v>
      </c>
      <c r="D24" s="61" t="str">
        <f>IF(VLOOKUP(CONCATENATE(B24,"-",C24),Languages!$A:$D,1,TRUE)=CONCATENATE(B24,"-",C24),VLOOKUP(CONCATENATE(B24,"-",C24),Languages!$A:$D,Summary!$C$7,TRUE),NA())</f>
        <v>Uhkien torjunta ja uhkatiedon jakaminen</v>
      </c>
      <c r="E24" s="62" t="str">
        <f ca="1">VLOOKUP(VLOOKUP(CONCATENATE(B24,"-",C24),Data!$K:$O,5,FALSE),Parameters!$C$7:$F$10,Summary!$C$7,FALSE)</f>
        <v>Kypsyystaso 0</v>
      </c>
      <c r="F24" s="88">
        <v>2</v>
      </c>
      <c r="G24" s="61" t="str">
        <f>IF(VLOOKUP(CONCATENATE(I24,"-",F24),Languages!$A:$D,1,TRUE)=CONCATENATE(I24,"-",F24),VLOOKUP(CONCATENATE(I24,"-",F24),Languages!$A:$D,Summary!$C$7,TRUE),NA())</f>
        <v>Kyberturvallisuuteen keskittyvän henkilöstön kehittäminen</v>
      </c>
      <c r="H24" s="62" t="str">
        <f ca="1">VLOOKUP(VLOOKUP(CONCATENATE(I24,"-",F24),Data!$K:$O,5,FALSE),Parameters!$C$7:$F$10,Summary!$C$7,FALSE)</f>
        <v>Kypsyystaso 0</v>
      </c>
      <c r="I24" s="82" t="s">
        <v>77</v>
      </c>
      <c r="J24" s="29"/>
      <c r="K24" s="3"/>
    </row>
    <row r="25" spans="1:15" ht="19.95" customHeight="1" x14ac:dyDescent="0.25">
      <c r="A25" s="3"/>
      <c r="B25" s="86" t="s">
        <v>66</v>
      </c>
      <c r="C25" s="81">
        <v>3</v>
      </c>
      <c r="D25" s="61" t="str">
        <f>IF(VLOOKUP(CONCATENATE(B25,"-",C25),Languages!$A:$D,1,TRUE)=CONCATENATE(B25,"-",C25),VLOOKUP(CONCATENATE(B25,"-",C25),Languages!$A:$D,Summary!$C$7,TRUE),NA())</f>
        <v>Yleisiä hallintatoimia</v>
      </c>
      <c r="E25" s="62" t="str">
        <f ca="1">VLOOKUP(VLOOKUP(CONCATENATE(B25,"-",C25),Data!$K:$O,5,FALSE),Parameters!$C$7:$F$10,Summary!$C$7,FALSE)</f>
        <v>Kypsyystaso 1</v>
      </c>
      <c r="F25" s="88">
        <v>3</v>
      </c>
      <c r="G25" s="61" t="str">
        <f>IF(VLOOKUP(CONCATENATE(I25,"-",F25),Languages!$A:$D,1,TRUE)=CONCATENATE(I25,"-",F25),VLOOKUP(CONCATENATE(I25,"-",F25),Languages!$A:$D,Summary!$C$7,TRUE),NA())</f>
        <v>Henkilöstöhallinnon prosessit</v>
      </c>
      <c r="H25" s="62" t="str">
        <f ca="1">VLOOKUP(VLOOKUP(CONCATENATE(I25,"-",F25),Data!$K:$O,5,FALSE),Parameters!$C$7:$F$10,Summary!$C$7,FALSE)</f>
        <v>Kypsyystaso 0</v>
      </c>
      <c r="I25" s="82" t="s">
        <v>77</v>
      </c>
      <c r="J25" s="29"/>
      <c r="K25" s="3"/>
    </row>
    <row r="26" spans="1:15" ht="19.95" customHeight="1" x14ac:dyDescent="0.25">
      <c r="A26" s="3"/>
      <c r="B26" s="86"/>
      <c r="C26" s="87"/>
      <c r="D26" s="57"/>
      <c r="E26" s="56"/>
      <c r="F26" s="75">
        <v>4</v>
      </c>
      <c r="G26" s="61" t="str">
        <f>IF(VLOOKUP(CONCATENATE(I26,"-",F26),Languages!$A:$D,1,TRUE)=CONCATENATE(I26,"-",F26),VLOOKUP(CONCATENATE(I26,"-",F26),Languages!$A:$D,Summary!$C$7,TRUE),NA())</f>
        <v>Koulutus ja kybertietoisuuden lisääminen</v>
      </c>
      <c r="H26" s="62" t="str">
        <f ca="1">VLOOKUP(VLOOKUP(CONCATENATE(I26,"-",F26),Data!$K:$O,5,FALSE),Parameters!$C$7:$F$10,Summary!$C$7,FALSE)</f>
        <v>Kypsyystaso 0</v>
      </c>
      <c r="I26" s="82" t="s">
        <v>77</v>
      </c>
      <c r="J26" s="29"/>
      <c r="K26" s="3"/>
    </row>
    <row r="27" spans="1:15" ht="19.95" customHeight="1" x14ac:dyDescent="0.25">
      <c r="A27" s="3"/>
      <c r="B27" s="86"/>
      <c r="C27" s="87" t="s">
        <v>0</v>
      </c>
      <c r="D27" s="89" t="str">
        <f>IF(VLOOKUP(C27,Languages!$A:$D,1,TRUE)=C27,VLOOKUP(C27,Languages!$A:$D,Summary!$C$7,TRUE),NA())</f>
        <v>Riskienhallinta (RISK)</v>
      </c>
      <c r="E27" s="90" t="str">
        <f ca="1">VLOOKUP(VLOOKUP(CONCATENATE(C27),Data!$K:$O,5,FALSE),Parameters!$C$7:$F$10,Summary!$C$7,FALSE)</f>
        <v>Kypsyystaso 0</v>
      </c>
      <c r="F27" s="75">
        <v>5</v>
      </c>
      <c r="G27" s="61" t="str">
        <f>IF(VLOOKUP(CONCATENATE(I27,"-",F27),Languages!$A:$D,1,TRUE)=CONCATENATE(I27,"-",F27),VLOOKUP(CONCATENATE(I27,"-",F27),Languages!$A:$D,Summary!$C$7,TRUE),NA())</f>
        <v>Yleisiä hallintatoimia</v>
      </c>
      <c r="H27" s="62" t="str">
        <f ca="1">VLOOKUP(VLOOKUP(CONCATENATE(I27,"-",F27),Data!$K:$O,5,FALSE),Parameters!$C$7:$F$10,Summary!$C$7,FALSE)</f>
        <v>Kypsyystaso 1</v>
      </c>
      <c r="I27" s="82" t="s">
        <v>77</v>
      </c>
      <c r="J27" s="29"/>
      <c r="K27" s="3"/>
    </row>
    <row r="28" spans="1:15" ht="19.95" customHeight="1" x14ac:dyDescent="0.25">
      <c r="A28" s="3"/>
      <c r="B28" s="86" t="s">
        <v>0</v>
      </c>
      <c r="C28" s="87">
        <v>1</v>
      </c>
      <c r="D28" s="61" t="str">
        <f>IF(VLOOKUP(CONCATENATE(B28,"-",C28),Languages!$A:$D,1,TRUE)=CONCATENATE(B28,"-",C28),VLOOKUP(CONCATENATE(B28,"-",C28),Languages!$A:$D,Summary!$C$7,TRUE),NA())</f>
        <v>Kyberriskienhallinnan suunnitelma</v>
      </c>
      <c r="E28" s="62" t="str">
        <f ca="1">VLOOKUP(VLOOKUP(CONCATENATE(B28,"-",C28),Data!$K:$O,5,FALSE),Parameters!$C$7:$F$10,Summary!$C$7,FALSE)</f>
        <v>Kypsyystaso 0</v>
      </c>
      <c r="F28" s="75"/>
      <c r="G28" s="57"/>
      <c r="H28" s="56"/>
      <c r="I28" s="83"/>
      <c r="J28" s="29"/>
      <c r="K28" s="3"/>
    </row>
    <row r="29" spans="1:15" ht="19.95" customHeight="1" x14ac:dyDescent="0.25">
      <c r="A29" s="3"/>
      <c r="B29" s="86" t="s">
        <v>0</v>
      </c>
      <c r="C29" s="87">
        <v>2</v>
      </c>
      <c r="D29" s="61" t="str">
        <f>IF(VLOOKUP(CONCATENATE(B29,"-",C29),Languages!$A:$D,1,TRUE)=CONCATENATE(B29,"-",C29),VLOOKUP(CONCATENATE(B29,"-",C29),Languages!$A:$D,Summary!$C$7,TRUE),NA())</f>
        <v>Kyberriskien tunnistaminen</v>
      </c>
      <c r="E29" s="62" t="str">
        <f ca="1">VLOOKUP(VLOOKUP(CONCATENATE(B29,"-",C29),Data!$K:$O,5,FALSE),Parameters!$C$7:$F$10,Summary!$C$7,FALSE)</f>
        <v>Kypsyystaso 0</v>
      </c>
      <c r="F29" s="81" t="s">
        <v>80</v>
      </c>
      <c r="G29" s="89" t="str">
        <f>IF(VLOOKUP(F29,Languages!$A:$D,1,TRUE)=F29,VLOOKUP(F29,Languages!$A:$D,Summary!$C$7,TRUE),NA())</f>
        <v>Kyberturvallisuusarkkitehtuuri (ARCHITECTURE)</v>
      </c>
      <c r="H29" s="90" t="str">
        <f ca="1">VLOOKUP(VLOOKUP(CONCATENATE(F29),Data!$K:$O,5,FALSE),Parameters!$C$7:$F$10,Summary!$C$7,FALSE)</f>
        <v>Kypsyystaso 0</v>
      </c>
      <c r="I29" s="68"/>
      <c r="J29" s="29"/>
      <c r="K29" s="3"/>
    </row>
    <row r="30" spans="1:15" ht="19.95" customHeight="1" x14ac:dyDescent="0.25">
      <c r="A30" s="3"/>
      <c r="B30" s="86" t="s">
        <v>0</v>
      </c>
      <c r="C30" s="87">
        <v>3</v>
      </c>
      <c r="D30" s="61" t="str">
        <f>IF(VLOOKUP(CONCATENATE(B30,"-",C30),Languages!$A:$D,1,TRUE)=CONCATENATE(B30,"-",C30),VLOOKUP(CONCATENATE(B30,"-",C30),Languages!$A:$D,Summary!$C$7,TRUE),NA())</f>
        <v>Riskien analysointi</v>
      </c>
      <c r="E30" s="62" t="str">
        <f ca="1">VLOOKUP(VLOOKUP(CONCATENATE(B30,"-",C30),Data!$K:$O,5,FALSE),Parameters!$C$7:$F$10,Summary!$C$7,FALSE)</f>
        <v>Kypsyystaso 0</v>
      </c>
      <c r="F30" s="88">
        <v>1</v>
      </c>
      <c r="G30" s="61" t="str">
        <f>IF(VLOOKUP(CONCATENATE(I30,"-",F30),Languages!$A:$D,1,TRUE)=CONCATENATE(I30,"-",F30),VLOOKUP(CONCATENATE(I30,"-",F30),Languages!$A:$D,Summary!$C$7,TRUE),NA())</f>
        <v>Kyberarkkitehtuurin kehittäminen</v>
      </c>
      <c r="H30" s="62" t="str">
        <f ca="1">VLOOKUP(VLOOKUP(CONCATENATE(I30,"-",F30),Data!$K:$O,5,FALSE),Parameters!$C$7:$F$10,Summary!$C$7,FALSE)</f>
        <v>Kypsyystaso 0</v>
      </c>
      <c r="I30" s="82" t="s">
        <v>80</v>
      </c>
      <c r="J30" s="29"/>
      <c r="K30" s="3"/>
    </row>
    <row r="31" spans="1:15" ht="19.95" customHeight="1" x14ac:dyDescent="0.25">
      <c r="A31" s="3"/>
      <c r="B31" s="86" t="s">
        <v>0</v>
      </c>
      <c r="C31" s="87">
        <v>4</v>
      </c>
      <c r="D31" s="61" t="str">
        <f>IF(VLOOKUP(CONCATENATE(B31,"-",C31),Languages!$A:$D,1,TRUE)=CONCATENATE(B31,"-",C31),VLOOKUP(CONCATENATE(B31,"-",C31),Languages!$A:$D,Summary!$C$7,TRUE),NA())</f>
        <v>Riskeihin reagointi</v>
      </c>
      <c r="E31" s="62" t="str">
        <f ca="1">VLOOKUP(VLOOKUP(CONCATENATE(B31,"-",C31),Data!$K:$O,5,FALSE),Parameters!$C$7:$F$10,Summary!$C$7,FALSE)</f>
        <v>Kypsyystaso 0</v>
      </c>
      <c r="F31" s="88">
        <v>2</v>
      </c>
      <c r="G31" s="61" t="str">
        <f>IF(VLOOKUP(CONCATENATE(I31,"-",F31),Languages!$A:$D,1,TRUE)=CONCATENATE(I31,"-",F31),VLOOKUP(CONCATENATE(I31,"-",F31),Languages!$A:$D,Summary!$C$7,TRUE),NA())</f>
        <v>Tietoverkkojen suojaus osana kyberarkkitehtuuria</v>
      </c>
      <c r="H31" s="62" t="str">
        <f ca="1">VLOOKUP(VLOOKUP(CONCATENATE(I31,"-",F31),Data!$K:$O,5,FALSE),Parameters!$C$7:$F$10,Summary!$C$7,FALSE)</f>
        <v>Kypsyystaso 0</v>
      </c>
      <c r="I31" s="82" t="s">
        <v>80</v>
      </c>
      <c r="J31" s="29"/>
      <c r="K31" s="3"/>
    </row>
    <row r="32" spans="1:15" ht="19.95" customHeight="1" x14ac:dyDescent="0.25">
      <c r="A32" s="3"/>
      <c r="B32" s="86" t="s">
        <v>0</v>
      </c>
      <c r="C32" s="81">
        <v>5</v>
      </c>
      <c r="D32" s="61" t="str">
        <f>IF(VLOOKUP(CONCATENATE(B32,"-",C32),Languages!$A:$D,1,TRUE)=CONCATENATE(B32,"-",C32),VLOOKUP(CONCATENATE(B32,"-",C32),Languages!$A:$D,Summary!$C$7,TRUE),NA())</f>
        <v>Yleisiä hallintatoimia</v>
      </c>
      <c r="E32" s="62" t="str">
        <f ca="1">VLOOKUP(VLOOKUP(CONCATENATE(B32,"-",C32),Data!$K:$O,5,FALSE),Parameters!$C$7:$F$10,Summary!$C$7,FALSE)</f>
        <v>Kypsyystaso 1</v>
      </c>
      <c r="F32" s="88">
        <v>3</v>
      </c>
      <c r="G32" s="61" t="str">
        <f>IF(VLOOKUP(CONCATENATE(I32,"-",F32),Languages!$A:$D,1,TRUE)=CONCATENATE(I32,"-",F32),VLOOKUP(CONCATENATE(I32,"-",F32),Languages!$A:$D,Summary!$C$7,TRUE),NA())</f>
        <v>Laitteiden ja ohjelmistojen turvallisuus osana kyberarkkitehtuuria</v>
      </c>
      <c r="H32" s="62" t="str">
        <f ca="1">VLOOKUP(VLOOKUP(CONCATENATE(I32,"-",F32),Data!$K:$O,5,FALSE),Parameters!$C$7:$F$10,Summary!$C$7,FALSE)</f>
        <v>Kypsyystaso 0</v>
      </c>
      <c r="I32" s="82" t="s">
        <v>80</v>
      </c>
      <c r="J32" s="29"/>
      <c r="K32" s="3"/>
    </row>
    <row r="33" spans="1:15" ht="19.95" customHeight="1" x14ac:dyDescent="0.25">
      <c r="A33" s="3"/>
      <c r="B33" s="86"/>
      <c r="C33" s="87"/>
      <c r="D33" s="57"/>
      <c r="E33" s="56"/>
      <c r="F33" s="75">
        <v>4</v>
      </c>
      <c r="G33" s="61" t="str">
        <f>IF(VLOOKUP(CONCATENATE(I33,"-",F33),Languages!$A:$D,1,TRUE)=CONCATENATE(I33,"-",F33),VLOOKUP(CONCATENATE(I33,"-",F33),Languages!$A:$D,Summary!$C$7,TRUE),NA())</f>
        <v>Sovellusturvallisuus osana kyberarkkitehtuuria</v>
      </c>
      <c r="H33" s="62" t="str">
        <f ca="1">VLOOKUP(VLOOKUP(CONCATENATE(I33,"-",F33),Data!$K:$O,5,FALSE),Parameters!$C$7:$F$10,Summary!$C$7,FALSE)</f>
        <v>Kypsyystaso 1</v>
      </c>
      <c r="I33" s="82" t="s">
        <v>80</v>
      </c>
      <c r="J33" s="29"/>
      <c r="K33" s="3"/>
    </row>
    <row r="34" spans="1:15" ht="19.95" customHeight="1" x14ac:dyDescent="0.25">
      <c r="A34" s="3"/>
      <c r="B34" s="86"/>
      <c r="C34" s="87" t="s">
        <v>61</v>
      </c>
      <c r="D34" s="89" t="str">
        <f>IF(VLOOKUP(C34,Languages!$A:$D,1,TRUE)=C34,VLOOKUP(C34,Languages!$A:$D,Summary!$C$7,TRUE),NA())</f>
        <v>Identiteetin- ja pääsynhallinta (ACCESS)</v>
      </c>
      <c r="E34" s="90" t="str">
        <f ca="1">VLOOKUP(VLOOKUP(CONCATENATE(C34),Data!$K:$O,5,FALSE),Parameters!$C$7:$F$10,Summary!$C$7,FALSE)</f>
        <v>Kypsyystaso 0</v>
      </c>
      <c r="F34" s="75">
        <v>5</v>
      </c>
      <c r="G34" s="61" t="str">
        <f>IF(VLOOKUP(CONCATENATE(I34,"-",F34),Languages!$A:$D,1,TRUE)=CONCATENATE(I34,"-",F34),VLOOKUP(CONCATENATE(I34,"-",F34),Languages!$A:$D,Summary!$C$7,TRUE),NA())</f>
        <v>Tietojen suojaus osana kyberarkkitehtuuria</v>
      </c>
      <c r="H34" s="62" t="str">
        <f ca="1">VLOOKUP(VLOOKUP(CONCATENATE(I34,"-",F34),Data!$K:$O,5,FALSE),Parameters!$C$7:$F$10,Summary!$C$7,FALSE)</f>
        <v>Kypsyystaso 0</v>
      </c>
      <c r="I34" s="82" t="s">
        <v>80</v>
      </c>
      <c r="J34" s="29"/>
      <c r="K34" s="3"/>
    </row>
    <row r="35" spans="1:15" ht="19.95" customHeight="1" x14ac:dyDescent="0.25">
      <c r="A35" s="3"/>
      <c r="B35" s="86" t="s">
        <v>61</v>
      </c>
      <c r="C35" s="87">
        <v>1</v>
      </c>
      <c r="D35" s="61" t="str">
        <f>IF(VLOOKUP(CONCATENATE(B35,"-",C35),Languages!$A:$D,1,TRUE)=CONCATENATE(B35,"-",C35),VLOOKUP(CONCATENATE(B35,"-",C35),Languages!$A:$D,Summary!$C$7,TRUE),NA())</f>
        <v>Identiteettien luominen ja hallinta</v>
      </c>
      <c r="E35" s="62" t="str">
        <f ca="1">VLOOKUP(VLOOKUP(CONCATENATE(B35,"-",C35),Data!$K:$O,5,FALSE),Parameters!$C$7:$F$10,Summary!$C$7,FALSE)</f>
        <v>Kypsyystaso 0</v>
      </c>
      <c r="F35" s="75">
        <v>6</v>
      </c>
      <c r="G35" s="61" t="str">
        <f>IF(VLOOKUP(CONCATENATE(I35,"-",F35),Languages!$A:$D,1,TRUE)=CONCATENATE(I35,"-",F35),VLOOKUP(CONCATENATE(I35,"-",F35),Languages!$A:$D,Summary!$C$7,TRUE),NA())</f>
        <v>Yleisiä hallintatoimia</v>
      </c>
      <c r="H35" s="62" t="str">
        <f ca="1">VLOOKUP(VLOOKUP(CONCATENATE(I35,"-",F35),Data!$K:$O,5,FALSE),Parameters!$C$7:$F$10,Summary!$C$7,FALSE)</f>
        <v>Kypsyystaso 1</v>
      </c>
      <c r="I35" s="82" t="s">
        <v>80</v>
      </c>
      <c r="J35" s="29"/>
      <c r="K35" s="3"/>
    </row>
    <row r="36" spans="1:15" ht="19.95" customHeight="1" x14ac:dyDescent="0.25">
      <c r="A36" s="3"/>
      <c r="B36" s="86" t="s">
        <v>61</v>
      </c>
      <c r="C36" s="87">
        <v>2</v>
      </c>
      <c r="D36" s="61" t="str">
        <f>IF(VLOOKUP(CONCATENATE(B36,"-",C36),Languages!$A:$D,1,TRUE)=CONCATENATE(B36,"-",C36),VLOOKUP(CONCATENATE(B36,"-",C36),Languages!$A:$D,Summary!$C$7,TRUE),NA())</f>
        <v>Loogisten käyttöoikeuksien hallinta</v>
      </c>
      <c r="E36" s="62" t="str">
        <f ca="1">VLOOKUP(VLOOKUP(CONCATENATE(B36,"-",C36),Data!$K:$O,5,FALSE),Parameters!$C$7:$F$10,Summary!$C$7,FALSE)</f>
        <v>Kypsyystaso 0</v>
      </c>
      <c r="J36" s="29"/>
      <c r="K36" s="3"/>
    </row>
    <row r="37" spans="1:15" ht="19.95" customHeight="1" x14ac:dyDescent="0.25">
      <c r="A37" s="3"/>
      <c r="B37" s="86" t="s">
        <v>61</v>
      </c>
      <c r="C37" s="81">
        <v>3</v>
      </c>
      <c r="D37" s="61" t="str">
        <f>IF(VLOOKUP(CONCATENATE(B37,"-",C37),Languages!$A:$D,1,TRUE)=CONCATENATE(B37,"-",C37),VLOOKUP(CONCATENATE(B37,"-",C37),Languages!$A:$D,Summary!$C$7,TRUE),NA())</f>
        <v>Fyysinen pääsynhallinta</v>
      </c>
      <c r="E37" s="62" t="str">
        <f ca="1">VLOOKUP(VLOOKUP(CONCATENATE(B37,"-",C37),Data!$K:$O,5,FALSE),Parameters!$C$7:$F$10,Summary!$C$7,FALSE)</f>
        <v>Kypsyystaso 0</v>
      </c>
      <c r="F37" s="81" t="s">
        <v>82</v>
      </c>
      <c r="G37" s="89" t="str">
        <f>IF(VLOOKUP(F37,Languages!$A:$D,1,TRUE)=F37,VLOOKUP(F37,Languages!$A:$D,Summary!$C$7,TRUE),NA())</f>
        <v>Kyberturvallisuuden hallinta (PROGRAM)</v>
      </c>
      <c r="H37" s="90" t="str">
        <f ca="1">VLOOKUP(VLOOKUP(CONCATENATE(F37),Data!$K:$O,5,FALSE),Parameters!$C$7:$F$10,Summary!$C$7,FALSE)</f>
        <v>Kypsyystaso 0</v>
      </c>
      <c r="I37" s="68"/>
      <c r="J37" s="29"/>
      <c r="K37" s="3"/>
    </row>
    <row r="38" spans="1:15" ht="19.95" customHeight="1" x14ac:dyDescent="0.25">
      <c r="A38" s="3"/>
      <c r="B38" s="86" t="s">
        <v>61</v>
      </c>
      <c r="C38" s="87">
        <v>4</v>
      </c>
      <c r="D38" s="61" t="str">
        <f>IF(VLOOKUP(CONCATENATE(B38,"-",C38),Languages!$A:$D,1,TRUE)=CONCATENATE(B38,"-",C38),VLOOKUP(CONCATENATE(B38,"-",C38),Languages!$A:$D,Summary!$C$7,TRUE),NA())</f>
        <v>Yleisiä hallintatoimia</v>
      </c>
      <c r="E38" s="62" t="str">
        <f ca="1">VLOOKUP(VLOOKUP(CONCATENATE(B38,"-",C38),Data!$K:$O,5,FALSE),Parameters!$C$7:$F$10,Summary!$C$7,FALSE)</f>
        <v>Kypsyystaso 1</v>
      </c>
      <c r="F38" s="88">
        <v>1</v>
      </c>
      <c r="G38" s="61" t="str">
        <f>IF(VLOOKUP(CONCATENATE(I38,"-",F38),Languages!$A:$D,1,TRUE)=CONCATENATE(I38,"-",F38),VLOOKUP(CONCATENATE(I38,"-",F38),Languages!$A:$D,Summary!$C$7,TRUE),NA())</f>
        <v>Kyberturvallisuusstrategia</v>
      </c>
      <c r="H38" s="62" t="str">
        <f ca="1">VLOOKUP(VLOOKUP(CONCATENATE(I38,"-",F38),Data!$K:$O,5,FALSE),Parameters!$C$7:$F$10,Summary!$C$7,FALSE)</f>
        <v>Kypsyystaso 0</v>
      </c>
      <c r="I38" s="82" t="s">
        <v>82</v>
      </c>
      <c r="J38" s="29"/>
      <c r="K38" s="3"/>
    </row>
    <row r="39" spans="1:15" ht="19.95" customHeight="1" x14ac:dyDescent="0.25">
      <c r="A39" s="3"/>
      <c r="B39" s="86" t="s">
        <v>61</v>
      </c>
      <c r="C39" s="87">
        <v>4</v>
      </c>
      <c r="F39" s="88">
        <v>2</v>
      </c>
      <c r="G39" s="61" t="str">
        <f>IF(VLOOKUP(CONCATENATE(I39,"-",F39),Languages!$A:$D,1,TRUE)=CONCATENATE(I39,"-",F39),VLOOKUP(CONCATENATE(I39,"-",F39),Languages!$A:$D,Summary!$C$7,TRUE),NA())</f>
        <v>Johdon tuki kyberturvallisuusohjelmalle</v>
      </c>
      <c r="H39" s="62" t="str">
        <f ca="1">VLOOKUP(VLOOKUP(CONCATENATE(I39,"-",F39),Data!$K:$O,5,FALSE),Parameters!$C$7:$F$10,Summary!$C$7,FALSE)</f>
        <v>Kypsyystaso 0</v>
      </c>
      <c r="I39" s="82" t="s">
        <v>82</v>
      </c>
      <c r="J39" s="29"/>
      <c r="K39" s="3"/>
    </row>
    <row r="40" spans="1:15" ht="19.95" customHeight="1" x14ac:dyDescent="0.25">
      <c r="A40" s="3"/>
      <c r="B40" s="86"/>
      <c r="C40" s="87" t="s">
        <v>69</v>
      </c>
      <c r="D40" s="89" t="str">
        <f>IF(VLOOKUP(C40,Languages!$A:$D,1,TRUE)=C40,VLOOKUP(C40,Languages!$A:$D,Summary!$C$7,TRUE),NA())</f>
        <v>Tilannekuva (SITUATION)</v>
      </c>
      <c r="E40" s="90" t="str">
        <f ca="1">VLOOKUP(VLOOKUP(CONCATENATE(C40),Data!$K:$O,5,FALSE),Parameters!$C$7:$F$10,Summary!$C$7,FALSE)</f>
        <v>Kypsyystaso 0</v>
      </c>
      <c r="F40" s="88">
        <v>3</v>
      </c>
      <c r="G40" s="61" t="str">
        <f>IF(VLOOKUP(CONCATENATE(I40,"-",F40),Languages!$A:$D,1,TRUE)=CONCATENATE(I40,"-",F40),VLOOKUP(CONCATENATE(I40,"-",F40),Languages!$A:$D,Summary!$C$7,TRUE),NA())</f>
        <v>Yleisiä hallintatoimia</v>
      </c>
      <c r="H40" s="62" t="str">
        <f ca="1">VLOOKUP(VLOOKUP(CONCATENATE(I40,"-",F40),Data!$K:$O,5,FALSE),Parameters!$C$7:$F$10,Summary!$C$7,FALSE)</f>
        <v>Kypsyystaso 1</v>
      </c>
      <c r="I40" s="82" t="s">
        <v>82</v>
      </c>
      <c r="J40" s="29"/>
      <c r="K40" s="3"/>
    </row>
    <row r="41" spans="1:15" ht="19.95" customHeight="1" x14ac:dyDescent="0.25">
      <c r="A41" s="3"/>
      <c r="B41" s="86" t="s">
        <v>69</v>
      </c>
      <c r="C41" s="87">
        <v>1</v>
      </c>
      <c r="D41" s="61" t="str">
        <f>IF(VLOOKUP(CONCATENATE(B41,"-",C41),Languages!$A:$D,1,TRUE)=CONCATENATE(B41,"-",C41),VLOOKUP(CONCATENATE(B41,"-",C41),Languages!$A:$D,Summary!$C$7,TRUE),NA())</f>
        <v>Lokienhallinta</v>
      </c>
      <c r="E41" s="62" t="str">
        <f ca="1">VLOOKUP(VLOOKUP(CONCATENATE(B41,"-",C41),Data!$K:$O,5,FALSE),Parameters!$C$7:$F$10,Summary!$C$7,FALSE)</f>
        <v>Kypsyystaso 0</v>
      </c>
      <c r="F41" s="75">
        <v>4</v>
      </c>
      <c r="G41" s="61"/>
      <c r="H41" s="62"/>
      <c r="I41" s="82"/>
      <c r="J41" s="29"/>
      <c r="K41" s="3"/>
    </row>
    <row r="42" spans="1:15" ht="19.95" customHeight="1" x14ac:dyDescent="0.25">
      <c r="A42" s="3"/>
      <c r="B42" s="86" t="s">
        <v>69</v>
      </c>
      <c r="C42" s="87">
        <v>2</v>
      </c>
      <c r="D42" s="61" t="str">
        <f>IF(VLOOKUP(CONCATENATE(B42,"-",C42),Languages!$A:$D,1,TRUE)=CONCATENATE(B42,"-",C42),VLOOKUP(CONCATENATE(B42,"-",C42),Languages!$A:$D,Summary!$C$7,TRUE),NA())</f>
        <v>Ympäristöjen valvonta</v>
      </c>
      <c r="E42" s="62" t="str">
        <f ca="1">VLOOKUP(VLOOKUP(CONCATENATE(B42,"-",C42),Data!$K:$O,5,FALSE),Parameters!$C$7:$F$10,Summary!$C$7,FALSE)</f>
        <v>Kypsyystaso 0</v>
      </c>
      <c r="F42" s="28"/>
      <c r="G42" s="28"/>
      <c r="H42" s="28"/>
      <c r="I42" s="84"/>
      <c r="J42" s="29"/>
      <c r="K42" s="3"/>
    </row>
    <row r="43" spans="1:15" ht="19.95" customHeight="1" x14ac:dyDescent="0.25">
      <c r="A43" s="3"/>
      <c r="B43" s="86" t="s">
        <v>69</v>
      </c>
      <c r="C43" s="87">
        <v>3</v>
      </c>
      <c r="D43" s="61" t="str">
        <f>IF(VLOOKUP(CONCATENATE(B43,"-",C43),Languages!$A:$D,1,TRUE)=CONCATENATE(B43,"-",C43),VLOOKUP(CONCATENATE(B43,"-",C43),Languages!$A:$D,Summary!$C$7,TRUE),NA())</f>
        <v>Tilannekuvan ylläpito</v>
      </c>
      <c r="E43" s="62" t="str">
        <f ca="1">VLOOKUP(VLOOKUP(CONCATENATE(B43,"-",C43),Data!$K:$O,5,FALSE),Parameters!$C$7:$F$10,Summary!$C$7,FALSE)</f>
        <v>Kypsyystaso 1</v>
      </c>
      <c r="F43" s="28"/>
      <c r="G43" s="28"/>
      <c r="H43" s="28"/>
      <c r="I43" s="84"/>
      <c r="J43" s="29"/>
      <c r="K43" s="3"/>
    </row>
    <row r="44" spans="1:15" ht="19.95" customHeight="1" x14ac:dyDescent="0.25">
      <c r="A44" s="3"/>
      <c r="B44" s="86" t="s">
        <v>69</v>
      </c>
      <c r="C44" s="87">
        <v>4</v>
      </c>
      <c r="D44" s="61" t="str">
        <f>IF(VLOOKUP(CONCATENATE(B44,"-",C44),Languages!$A:$D,1,TRUE)=CONCATENATE(B44,"-",C44),VLOOKUP(CONCATENATE(B44,"-",C44),Languages!$A:$D,Summary!$C$7,TRUE),NA())</f>
        <v>Yleisiä hallintatoimia</v>
      </c>
      <c r="E44" s="62" t="str">
        <f ca="1">VLOOKUP(VLOOKUP(CONCATENATE(B44,"-",C44),Data!$K:$O,5,FALSE),Parameters!$C$7:$F$10,Summary!$C$7,FALSE)</f>
        <v>Kypsyystaso 1</v>
      </c>
      <c r="F44" s="28"/>
      <c r="G44" s="28"/>
      <c r="H44" s="28"/>
      <c r="I44" s="84"/>
      <c r="J44" s="29"/>
      <c r="K44" s="3"/>
    </row>
    <row r="45" spans="1:15" s="17" customFormat="1" ht="30" customHeight="1" x14ac:dyDescent="0.25">
      <c r="A45" s="26"/>
      <c r="B45" s="30"/>
      <c r="C45" s="37"/>
      <c r="E45" s="33"/>
      <c r="F45" s="33"/>
      <c r="G45" s="33"/>
      <c r="H45" s="33"/>
      <c r="I45" s="33"/>
      <c r="J45" s="31"/>
      <c r="K45" s="26"/>
      <c r="L45" s="46"/>
      <c r="M45" s="77"/>
      <c r="N45" s="77"/>
      <c r="O45" s="77"/>
    </row>
    <row r="46" spans="1:15" s="13" customFormat="1" ht="15" customHeight="1" x14ac:dyDescent="0.25">
      <c r="A46" s="12"/>
      <c r="B46" s="14"/>
      <c r="C46" s="18"/>
      <c r="D46" s="18"/>
      <c r="E46" s="50"/>
      <c r="F46" s="19"/>
      <c r="G46" s="19"/>
      <c r="H46" s="19"/>
      <c r="I46" s="19"/>
      <c r="J46" s="15"/>
      <c r="K46" s="12"/>
      <c r="L46" s="46"/>
      <c r="M46" s="77"/>
      <c r="N46" s="77"/>
      <c r="O46" s="77"/>
    </row>
    <row r="47" spans="1:15" s="13" customFormat="1" ht="18" customHeight="1" x14ac:dyDescent="0.25">
      <c r="A47" s="12"/>
      <c r="B47" s="12"/>
      <c r="C47" s="12"/>
      <c r="D47" s="16"/>
      <c r="E47" s="16"/>
      <c r="F47" s="12"/>
      <c r="G47" s="12"/>
      <c r="H47" s="12"/>
      <c r="I47" s="12"/>
      <c r="J47" s="12"/>
      <c r="K47" s="12"/>
      <c r="L47" s="46"/>
      <c r="M47" s="77"/>
      <c r="N47" s="77"/>
      <c r="O47" s="77"/>
    </row>
  </sheetData>
  <sheetProtection sheet="1" formatCells="0" formatColumns="0" formatRows="0"/>
  <mergeCells count="2">
    <mergeCell ref="D6:G6"/>
    <mergeCell ref="N4:N8"/>
  </mergeCells>
  <conditionalFormatting sqref="I10">
    <cfRule type="containsText" dxfId="112" priority="131" operator="containsText" text="1">
      <formula>NOT(ISERROR(SEARCH("1",I10)))</formula>
    </cfRule>
    <cfRule type="containsText" dxfId="111" priority="132" operator="containsText" text="0">
      <formula>NOT(ISERROR(SEARCH("0",I10)))</formula>
    </cfRule>
  </conditionalFormatting>
  <conditionalFormatting sqref="I37">
    <cfRule type="containsText" dxfId="110" priority="123" operator="containsText" text="1">
      <formula>NOT(ISERROR(SEARCH("1",I37)))</formula>
    </cfRule>
    <cfRule type="containsText" dxfId="109" priority="124" operator="containsText" text="0">
      <formula>NOT(ISERROR(SEARCH("0",I37)))</formula>
    </cfRule>
  </conditionalFormatting>
  <conditionalFormatting sqref="I17">
    <cfRule type="containsText" dxfId="108" priority="129" operator="containsText" text="1">
      <formula>NOT(ISERROR(SEARCH("1",I17)))</formula>
    </cfRule>
    <cfRule type="containsText" dxfId="107" priority="130" operator="containsText" text="0">
      <formula>NOT(ISERROR(SEARCH("0",I17)))</formula>
    </cfRule>
  </conditionalFormatting>
  <conditionalFormatting sqref="I22">
    <cfRule type="containsText" dxfId="106" priority="127" operator="containsText" text="1">
      <formula>NOT(ISERROR(SEARCH("1",I22)))</formula>
    </cfRule>
    <cfRule type="containsText" dxfId="105" priority="128" operator="containsText" text="0">
      <formula>NOT(ISERROR(SEARCH("0",I22)))</formula>
    </cfRule>
  </conditionalFormatting>
  <conditionalFormatting sqref="I29">
    <cfRule type="containsText" dxfId="104" priority="125" operator="containsText" text="1">
      <formula>NOT(ISERROR(SEARCH("1",I29)))</formula>
    </cfRule>
    <cfRule type="containsText" dxfId="103" priority="126" operator="containsText" text="0">
      <formula>NOT(ISERROR(SEARCH("0",I29)))</formula>
    </cfRule>
  </conditionalFormatting>
  <conditionalFormatting sqref="E10">
    <cfRule type="containsText" dxfId="102" priority="107" operator="containsText" text="3">
      <formula>NOT(ISERROR(SEARCH("3",E10)))</formula>
    </cfRule>
    <cfRule type="containsText" dxfId="101" priority="108" operator="containsText" text="2">
      <formula>NOT(ISERROR(SEARCH("2",E10)))</formula>
    </cfRule>
    <cfRule type="containsText" dxfId="100" priority="109" operator="containsText" text="1">
      <formula>NOT(ISERROR(SEARCH("1",E10)))</formula>
    </cfRule>
    <cfRule type="containsText" dxfId="99" priority="110" operator="containsText" text="0">
      <formula>NOT(ISERROR(SEARCH("0",E10)))</formula>
    </cfRule>
  </conditionalFormatting>
  <conditionalFormatting sqref="H37 H29 H22 H17 H10 E15 E22 E27">
    <cfRule type="containsText" dxfId="98" priority="13" operator="containsText" text="3">
      <formula>NOT(ISERROR(SEARCH("3",E10)))</formula>
    </cfRule>
    <cfRule type="containsText" dxfId="97" priority="14" operator="containsText" text="2">
      <formula>NOT(ISERROR(SEARCH("2",E10)))</formula>
    </cfRule>
    <cfRule type="containsText" dxfId="96" priority="15" operator="containsText" text="1">
      <formula>NOT(ISERROR(SEARCH("1",E10)))</formula>
    </cfRule>
    <cfRule type="containsText" dxfId="95" priority="16" operator="containsText" text="0">
      <formula>NOT(ISERROR(SEARCH("0",E10)))</formula>
    </cfRule>
  </conditionalFormatting>
  <conditionalFormatting sqref="E34">
    <cfRule type="containsText" dxfId="94" priority="9" operator="containsText" text="3">
      <formula>NOT(ISERROR(SEARCH("3",E34)))</formula>
    </cfRule>
    <cfRule type="containsText" dxfId="93" priority="10" operator="containsText" text="2">
      <formula>NOT(ISERROR(SEARCH("2",E34)))</formula>
    </cfRule>
    <cfRule type="containsText" dxfId="92" priority="11" operator="containsText" text="1">
      <formula>NOT(ISERROR(SEARCH("1",E34)))</formula>
    </cfRule>
    <cfRule type="containsText" dxfId="91" priority="12" operator="containsText" text="0">
      <formula>NOT(ISERROR(SEARCH("0",E34)))</formula>
    </cfRule>
  </conditionalFormatting>
  <conditionalFormatting sqref="E40">
    <cfRule type="containsText" dxfId="90" priority="1" operator="containsText" text="3">
      <formula>NOT(ISERROR(SEARCH("3",E40)))</formula>
    </cfRule>
    <cfRule type="containsText" dxfId="89" priority="2" operator="containsText" text="2">
      <formula>NOT(ISERROR(SEARCH("2",E40)))</formula>
    </cfRule>
    <cfRule type="containsText" dxfId="88" priority="3" operator="containsText" text="1">
      <formula>NOT(ISERROR(SEARCH("1",E40)))</formula>
    </cfRule>
    <cfRule type="containsText" dxfId="87" priority="4" operator="containsText" text="0">
      <formula>NOT(ISERROR(SEARCH("0",E40)))</formula>
    </cfRule>
  </conditionalFormatting>
  <pageMargins left="0.70866141732283472" right="0.70866141732283472" top="0.74803149606299213" bottom="0.74803149606299213" header="0.31496062992125984" footer="0.31496062992125984"/>
  <pageSetup paperSize="9" scale="46"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58B1"/>
  </sheetPr>
  <dimension ref="A1:W118"/>
  <sheetViews>
    <sheetView showGridLines="0" zoomScale="80" zoomScaleNormal="80" workbookViewId="0"/>
  </sheetViews>
  <sheetFormatPr defaultRowHeight="22.2" x14ac:dyDescent="0.35"/>
  <cols>
    <col min="1" max="2" width="1.6328125" customWidth="1"/>
    <col min="3" max="3" width="2.6328125" customWidth="1"/>
    <col min="4" max="4" width="12.6328125" style="702" customWidth="1"/>
    <col min="5" max="5" width="5.6328125" style="702" customWidth="1"/>
    <col min="6" max="6" width="18.6328125" style="702" customWidth="1"/>
    <col min="7" max="7" width="35.6328125" style="702" customWidth="1"/>
    <col min="8" max="8" width="7.6328125" style="702" customWidth="1"/>
    <col min="9" max="9" width="55.6328125" style="702" customWidth="1"/>
    <col min="10" max="10" width="12.6328125" style="703" customWidth="1"/>
    <col min="11" max="11" width="8.6328125" style="703" customWidth="1"/>
    <col min="12" max="12" width="8.6328125" style="702" customWidth="1"/>
    <col min="13" max="13" width="3.6328125" style="702" customWidth="1"/>
    <col min="14" max="14" width="8.6328125" style="702" customWidth="1"/>
    <col min="15" max="15" width="3.6328125" style="702" customWidth="1"/>
    <col min="16" max="16" width="8.6328125" style="702" customWidth="1"/>
    <col min="17" max="17" width="3.6328125" style="702" customWidth="1"/>
    <col min="18" max="19" width="1.6328125" customWidth="1"/>
    <col min="20" max="20" width="2.6328125" style="46" customWidth="1"/>
    <col min="21" max="21" width="1.6328125" style="77" customWidth="1"/>
    <col min="22" max="22" width="80.6328125" style="77" customWidth="1"/>
    <col min="23" max="23" width="1.6328125" style="77" customWidth="1"/>
  </cols>
  <sheetData>
    <row r="1" spans="1:23" ht="13.5" customHeight="1" x14ac:dyDescent="0.25">
      <c r="A1" s="3"/>
      <c r="B1" s="3"/>
      <c r="C1" s="3"/>
      <c r="D1" s="3"/>
      <c r="E1" s="3"/>
      <c r="F1" s="3"/>
      <c r="G1" s="3"/>
      <c r="H1" s="3"/>
      <c r="I1" s="3"/>
      <c r="J1" s="3"/>
      <c r="K1" s="3"/>
      <c r="L1" s="3"/>
      <c r="M1" s="3"/>
      <c r="N1" s="3"/>
      <c r="O1" s="3"/>
      <c r="P1" s="3"/>
      <c r="Q1" s="3"/>
      <c r="R1" s="3"/>
      <c r="S1" s="3"/>
      <c r="T1" s="43"/>
      <c r="U1" s="3"/>
      <c r="V1" s="3"/>
      <c r="W1" s="3"/>
    </row>
    <row r="2" spans="1:23" ht="18" customHeight="1" x14ac:dyDescent="0.25">
      <c r="A2" s="6"/>
      <c r="B2" s="630"/>
      <c r="C2" s="631"/>
      <c r="D2" s="631"/>
      <c r="E2" s="631"/>
      <c r="F2" s="631"/>
      <c r="G2" s="631"/>
      <c r="H2" s="631"/>
      <c r="I2" s="631"/>
      <c r="J2" s="631"/>
      <c r="K2" s="631"/>
      <c r="L2" s="631"/>
      <c r="M2" s="631"/>
      <c r="N2" s="631"/>
      <c r="O2" s="631"/>
      <c r="P2" s="631"/>
      <c r="Q2" s="631"/>
      <c r="R2" s="632"/>
      <c r="S2" s="6"/>
      <c r="T2" s="44"/>
      <c r="U2" s="6"/>
      <c r="V2" s="913" t="s">
        <v>2307</v>
      </c>
      <c r="W2" s="6"/>
    </row>
    <row r="3" spans="1:23" ht="18" customHeight="1" x14ac:dyDescent="0.35">
      <c r="A3" s="3"/>
      <c r="B3" s="633"/>
      <c r="C3" s="634"/>
      <c r="D3" s="635" t="s">
        <v>477</v>
      </c>
      <c r="E3" s="636"/>
      <c r="F3" s="636"/>
      <c r="G3" s="636"/>
      <c r="H3" s="636"/>
      <c r="I3" s="636"/>
      <c r="J3" s="637"/>
      <c r="K3" s="637"/>
      <c r="L3" s="636"/>
      <c r="M3" s="636"/>
      <c r="N3" s="636"/>
      <c r="O3" s="636"/>
      <c r="P3" s="636"/>
      <c r="Q3" s="636"/>
      <c r="R3" s="638"/>
      <c r="S3" s="26"/>
      <c r="T3" s="43"/>
      <c r="U3" s="3"/>
      <c r="V3" s="914"/>
      <c r="W3" s="6"/>
    </row>
    <row r="4" spans="1:23" ht="30" customHeight="1" x14ac:dyDescent="0.35">
      <c r="A4" s="3"/>
      <c r="B4" s="633"/>
      <c r="C4" s="634"/>
      <c r="D4" s="639" t="str">
        <f>IF(VLOOKUP("KM64",Languages!$A:$D,1,TRUE)="KM64",VLOOKUP("KM64",Languages!$A:$D,Summary!$C$7,TRUE),NA())</f>
        <v>Yksityiskohtainen NIST Cybersecurity Framework Core -raportti</v>
      </c>
      <c r="E4" s="636"/>
      <c r="F4" s="636"/>
      <c r="G4" s="636"/>
      <c r="H4" s="636"/>
      <c r="I4" s="636"/>
      <c r="J4" s="637"/>
      <c r="K4" s="637"/>
      <c r="L4" s="636"/>
      <c r="M4" s="636"/>
      <c r="N4" s="636"/>
      <c r="O4" s="636"/>
      <c r="P4" s="636"/>
      <c r="Q4" s="636"/>
      <c r="R4" s="638"/>
      <c r="S4" s="26"/>
      <c r="T4" s="43"/>
      <c r="U4" s="3"/>
      <c r="V4" s="914"/>
      <c r="W4" s="6"/>
    </row>
    <row r="5" spans="1:23" ht="30" customHeight="1" x14ac:dyDescent="0.35">
      <c r="A5" s="3"/>
      <c r="B5" s="633"/>
      <c r="C5" s="634"/>
      <c r="D5" s="640" t="str">
        <f>IF(VLOOKUP("KM65",Languages!$A:$D,1,TRUE)="KM65",VLOOKUP("KM65",Languages!$A:$D,Summary!$C$7,TRUE),NA())</f>
        <v xml:space="preserve"> Perustuen suuntaa-antavaan ristiinkytkentään C2M2 ja NIST-mallien välillä</v>
      </c>
      <c r="E5" s="636"/>
      <c r="F5" s="636"/>
      <c r="G5" s="636"/>
      <c r="H5" s="636"/>
      <c r="I5" s="636"/>
      <c r="J5" s="637"/>
      <c r="K5" s="637"/>
      <c r="L5" s="636"/>
      <c r="M5" s="636"/>
      <c r="N5" s="636"/>
      <c r="O5" s="636"/>
      <c r="P5" s="636"/>
      <c r="Q5" s="636"/>
      <c r="R5" s="638"/>
      <c r="S5" s="26"/>
      <c r="T5" s="43"/>
      <c r="U5" s="3"/>
      <c r="V5" s="1161" t="s">
        <v>3100</v>
      </c>
      <c r="W5" s="6"/>
    </row>
    <row r="6" spans="1:23" ht="15" customHeight="1" thickBot="1" x14ac:dyDescent="0.4">
      <c r="A6" s="3"/>
      <c r="B6" s="633"/>
      <c r="C6" s="634"/>
      <c r="D6" s="640"/>
      <c r="E6" s="636"/>
      <c r="F6" s="636"/>
      <c r="G6" s="636"/>
      <c r="H6" s="636"/>
      <c r="I6" s="636"/>
      <c r="J6" s="637"/>
      <c r="K6" s="637"/>
      <c r="L6" s="636"/>
      <c r="M6" s="636"/>
      <c r="N6" s="636"/>
      <c r="O6" s="636"/>
      <c r="P6" s="636"/>
      <c r="Q6" s="636"/>
      <c r="R6" s="638"/>
      <c r="S6" s="26"/>
      <c r="T6" s="43"/>
      <c r="U6" s="3"/>
      <c r="V6" s="1161"/>
      <c r="W6" s="6"/>
    </row>
    <row r="7" spans="1:23" s="644" customFormat="1" ht="22.05" customHeight="1" thickBot="1" x14ac:dyDescent="0.35">
      <c r="A7" s="641"/>
      <c r="B7" s="642"/>
      <c r="C7" s="643"/>
      <c r="D7" s="1269" t="s">
        <v>2019</v>
      </c>
      <c r="E7" s="1270"/>
      <c r="F7" s="1270"/>
      <c r="G7" s="1270"/>
      <c r="H7" s="1270"/>
      <c r="I7" s="1270"/>
      <c r="J7" s="1271"/>
      <c r="K7" s="1272"/>
      <c r="L7" s="1273"/>
      <c r="M7" s="1273"/>
      <c r="N7" s="1273"/>
      <c r="O7" s="1273"/>
      <c r="P7" s="1273"/>
      <c r="Q7" s="1274"/>
      <c r="R7" s="638"/>
      <c r="S7" s="26"/>
      <c r="T7" s="43"/>
      <c r="U7" s="3"/>
      <c r="V7" s="1161"/>
      <c r="W7" s="6"/>
    </row>
    <row r="8" spans="1:23" s="653" customFormat="1" ht="30" customHeight="1" x14ac:dyDescent="0.2">
      <c r="A8" s="645"/>
      <c r="B8" s="646"/>
      <c r="C8" s="647"/>
      <c r="D8" s="648" t="s">
        <v>679</v>
      </c>
      <c r="E8" s="649" t="s">
        <v>507</v>
      </c>
      <c r="F8" s="650" t="s">
        <v>662</v>
      </c>
      <c r="G8" s="650" t="s">
        <v>2020</v>
      </c>
      <c r="H8" s="649" t="s">
        <v>507</v>
      </c>
      <c r="I8" s="650" t="s">
        <v>2021</v>
      </c>
      <c r="J8" s="651"/>
      <c r="K8" s="652" t="s">
        <v>2302</v>
      </c>
      <c r="L8" s="1275" t="s">
        <v>883</v>
      </c>
      <c r="M8" s="1276"/>
      <c r="N8" s="1277" t="s">
        <v>2303</v>
      </c>
      <c r="O8" s="1276"/>
      <c r="P8" s="1277" t="s">
        <v>885</v>
      </c>
      <c r="Q8" s="1278"/>
      <c r="R8" s="638"/>
      <c r="S8" s="26"/>
      <c r="U8" s="3"/>
      <c r="V8" s="1161"/>
      <c r="W8" s="6"/>
    </row>
    <row r="9" spans="1:23" ht="30" customHeight="1" x14ac:dyDescent="0.25">
      <c r="A9" s="3"/>
      <c r="B9" s="633"/>
      <c r="C9" s="654"/>
      <c r="D9" s="1284" t="s">
        <v>1834</v>
      </c>
      <c r="E9" s="655" t="s">
        <v>2022</v>
      </c>
      <c r="F9" s="656" t="s">
        <v>2023</v>
      </c>
      <c r="G9" s="1279" t="s">
        <v>2024</v>
      </c>
      <c r="H9" s="657" t="s">
        <v>1876</v>
      </c>
      <c r="I9" s="658" t="s">
        <v>2025</v>
      </c>
      <c r="J9" s="659">
        <f ca="1">IF(K9=0, "", NISTmap!K16)</f>
        <v>0</v>
      </c>
      <c r="K9" s="660">
        <f>NISTmap!L16</f>
        <v>8</v>
      </c>
      <c r="L9" s="661">
        <f ca="1">IF(M9=0, "", NISTmap!K16)</f>
        <v>0</v>
      </c>
      <c r="M9" s="662">
        <f>NISTmap!O16</f>
        <v>4</v>
      </c>
      <c r="N9" s="661">
        <f ca="1">IF(O9=0, "", NISTmap!Q16)</f>
        <v>0</v>
      </c>
      <c r="O9" s="663">
        <f>NISTmap!R16</f>
        <v>2</v>
      </c>
      <c r="P9" s="661">
        <f ca="1">IF(Q9=0, "", NISTmap!T16)</f>
        <v>0</v>
      </c>
      <c r="Q9" s="664">
        <f>NISTmap!U16</f>
        <v>2</v>
      </c>
      <c r="R9" s="638"/>
      <c r="S9" s="26"/>
      <c r="U9" s="3"/>
      <c r="V9" s="1161"/>
      <c r="W9" s="6"/>
    </row>
    <row r="10" spans="1:23" ht="30" customHeight="1" x14ac:dyDescent="0.25">
      <c r="A10" s="3"/>
      <c r="B10" s="633"/>
      <c r="C10" s="654"/>
      <c r="D10" s="1284"/>
      <c r="E10" s="655"/>
      <c r="F10" s="656" t="s">
        <v>2026</v>
      </c>
      <c r="G10" s="1279"/>
      <c r="H10" s="657" t="s">
        <v>1877</v>
      </c>
      <c r="I10" s="658" t="s">
        <v>2027</v>
      </c>
      <c r="J10" s="659">
        <f ca="1">IF(K10=0, "", NISTmap!K17)</f>
        <v>0</v>
      </c>
      <c r="K10" s="660">
        <f>NISTmap!L17</f>
        <v>8</v>
      </c>
      <c r="L10" s="661">
        <f ca="1">IF(M10=0, "", NISTmap!K17)</f>
        <v>0</v>
      </c>
      <c r="M10" s="662">
        <f>NISTmap!O17</f>
        <v>3</v>
      </c>
      <c r="N10" s="661">
        <f ca="1">IF(O10=0, "", NISTmap!Q17)</f>
        <v>0</v>
      </c>
      <c r="O10" s="663">
        <f>NISTmap!R17</f>
        <v>3</v>
      </c>
      <c r="P10" s="661">
        <f ca="1">IF(Q10=0, "", NISTmap!T17)</f>
        <v>0</v>
      </c>
      <c r="Q10" s="664">
        <f>NISTmap!U17</f>
        <v>2</v>
      </c>
      <c r="R10" s="638"/>
      <c r="S10" s="26"/>
      <c r="T10" s="45"/>
      <c r="U10" s="3"/>
      <c r="V10" s="1161"/>
      <c r="W10" s="6"/>
    </row>
    <row r="11" spans="1:23" ht="30" customHeight="1" x14ac:dyDescent="0.25">
      <c r="A11" s="3"/>
      <c r="B11" s="633"/>
      <c r="C11" s="654"/>
      <c r="D11" s="1284"/>
      <c r="E11" s="655"/>
      <c r="F11" s="656" t="s">
        <v>2026</v>
      </c>
      <c r="G11" s="1279"/>
      <c r="H11" s="657" t="s">
        <v>1882</v>
      </c>
      <c r="I11" s="658" t="s">
        <v>2028</v>
      </c>
      <c r="J11" s="659">
        <f ca="1">IF(K11=0, "", NISTmap!K18)</f>
        <v>0</v>
      </c>
      <c r="K11" s="660">
        <f>NISTmap!L18</f>
        <v>8</v>
      </c>
      <c r="L11" s="661">
        <f ca="1">IF(M11=0, "", NISTmap!K18)</f>
        <v>0</v>
      </c>
      <c r="M11" s="662">
        <f>NISTmap!O18</f>
        <v>4</v>
      </c>
      <c r="N11" s="661">
        <f ca="1">IF(O11=0, "", NISTmap!Q18)</f>
        <v>0</v>
      </c>
      <c r="O11" s="663">
        <f>NISTmap!R18</f>
        <v>2</v>
      </c>
      <c r="P11" s="661">
        <f ca="1">IF(Q11=0, "", NISTmap!T18)</f>
        <v>0</v>
      </c>
      <c r="Q11" s="664">
        <f>NISTmap!U18</f>
        <v>2</v>
      </c>
      <c r="R11" s="638"/>
      <c r="S11" s="26"/>
      <c r="T11" s="45"/>
      <c r="U11" s="3"/>
      <c r="V11" s="1161"/>
      <c r="W11" s="6"/>
    </row>
    <row r="12" spans="1:23" ht="30" customHeight="1" x14ac:dyDescent="0.25">
      <c r="A12" s="3"/>
      <c r="B12" s="633"/>
      <c r="C12" s="654"/>
      <c r="D12" s="1284"/>
      <c r="E12" s="655"/>
      <c r="F12" s="656" t="s">
        <v>2026</v>
      </c>
      <c r="G12" s="1279"/>
      <c r="H12" s="657" t="s">
        <v>1888</v>
      </c>
      <c r="I12" s="658" t="s">
        <v>2029</v>
      </c>
      <c r="J12" s="659">
        <f ca="1">IF(K12=0, "", NISTmap!K19)</f>
        <v>0</v>
      </c>
      <c r="K12" s="660">
        <f>NISTmap!L19</f>
        <v>5</v>
      </c>
      <c r="L12" s="661">
        <f ca="1">IF(M12=0, "", NISTmap!K19)</f>
        <v>0</v>
      </c>
      <c r="M12" s="662">
        <f>NISTmap!O19</f>
        <v>4</v>
      </c>
      <c r="N12" s="661">
        <f ca="1">IF(O12=0, "", NISTmap!Q19)</f>
        <v>0</v>
      </c>
      <c r="O12" s="663">
        <f>NISTmap!R19</f>
        <v>1</v>
      </c>
      <c r="P12" s="661" t="str">
        <f>IF(Q12=0, "", NISTmap!T19)</f>
        <v/>
      </c>
      <c r="Q12" s="664">
        <f>NISTmap!U19</f>
        <v>0</v>
      </c>
      <c r="R12" s="638"/>
      <c r="S12" s="26"/>
      <c r="T12" s="45"/>
      <c r="U12" s="3"/>
      <c r="V12" s="1161"/>
      <c r="W12" s="6"/>
    </row>
    <row r="13" spans="1:23" ht="45" customHeight="1" x14ac:dyDescent="0.25">
      <c r="A13" s="3"/>
      <c r="B13" s="633"/>
      <c r="C13" s="654"/>
      <c r="D13" s="1284"/>
      <c r="E13" s="655"/>
      <c r="F13" s="656" t="s">
        <v>2026</v>
      </c>
      <c r="G13" s="1279"/>
      <c r="H13" s="657" t="s">
        <v>1878</v>
      </c>
      <c r="I13" s="658" t="s">
        <v>2030</v>
      </c>
      <c r="J13" s="659">
        <f ca="1">IF(K13=0, "", NISTmap!K20)</f>
        <v>0</v>
      </c>
      <c r="K13" s="660">
        <f>NISTmap!L20</f>
        <v>12</v>
      </c>
      <c r="L13" s="661">
        <f ca="1">IF(M13=0, "", NISTmap!K20)</f>
        <v>0</v>
      </c>
      <c r="M13" s="662">
        <f>NISTmap!O20</f>
        <v>2</v>
      </c>
      <c r="N13" s="661">
        <f ca="1">IF(O13=0, "", NISTmap!Q20)</f>
        <v>0</v>
      </c>
      <c r="O13" s="663">
        <f>NISTmap!R20</f>
        <v>8</v>
      </c>
      <c r="P13" s="661">
        <f ca="1">IF(Q13=0, "", NISTmap!T20)</f>
        <v>0</v>
      </c>
      <c r="Q13" s="664">
        <f>NISTmap!U20</f>
        <v>2</v>
      </c>
      <c r="R13" s="638"/>
      <c r="S13" s="26"/>
      <c r="T13" s="43"/>
      <c r="U13" s="3"/>
      <c r="V13" s="1161"/>
      <c r="W13" s="6"/>
    </row>
    <row r="14" spans="1:23" ht="45" customHeight="1" x14ac:dyDescent="0.25">
      <c r="A14" s="3"/>
      <c r="B14" s="633"/>
      <c r="C14" s="654"/>
      <c r="D14" s="1284"/>
      <c r="E14" s="655"/>
      <c r="F14" s="656" t="s">
        <v>2026</v>
      </c>
      <c r="G14" s="1279"/>
      <c r="H14" s="657" t="s">
        <v>1857</v>
      </c>
      <c r="I14" s="658" t="s">
        <v>2031</v>
      </c>
      <c r="J14" s="659">
        <f ca="1">IF(K14=0, "", NISTmap!K21)</f>
        <v>0</v>
      </c>
      <c r="K14" s="660">
        <f>NISTmap!L21</f>
        <v>15</v>
      </c>
      <c r="L14" s="661">
        <f ca="1">IF(M14=0, "", NISTmap!K21)</f>
        <v>0</v>
      </c>
      <c r="M14" s="662">
        <f>NISTmap!O21</f>
        <v>2</v>
      </c>
      <c r="N14" s="661">
        <f ca="1">IF(O14=0, "", NISTmap!Q21)</f>
        <v>0</v>
      </c>
      <c r="O14" s="663">
        <f>NISTmap!R21</f>
        <v>3</v>
      </c>
      <c r="P14" s="661">
        <f ca="1">IF(Q14=0, "", NISTmap!T21)</f>
        <v>0</v>
      </c>
      <c r="Q14" s="664">
        <f>NISTmap!U21</f>
        <v>10</v>
      </c>
      <c r="R14" s="638"/>
      <c r="S14" s="26"/>
      <c r="T14" s="45"/>
      <c r="U14" s="3"/>
      <c r="V14" s="1161"/>
      <c r="W14" s="6"/>
    </row>
    <row r="15" spans="1:23" ht="30" customHeight="1" x14ac:dyDescent="0.25">
      <c r="A15" s="3"/>
      <c r="B15" s="633"/>
      <c r="C15" s="654"/>
      <c r="D15" s="1284"/>
      <c r="E15" s="665" t="s">
        <v>2032</v>
      </c>
      <c r="F15" s="666" t="s">
        <v>2033</v>
      </c>
      <c r="G15" s="1280" t="s">
        <v>2034</v>
      </c>
      <c r="H15" s="667" t="s">
        <v>1889</v>
      </c>
      <c r="I15" s="668" t="s">
        <v>2035</v>
      </c>
      <c r="J15" s="669">
        <f ca="1">IF(K15=0, "", NISTmap!K22)</f>
        <v>0</v>
      </c>
      <c r="K15" s="670">
        <f>NISTmap!L22</f>
        <v>4</v>
      </c>
      <c r="L15" s="671">
        <f ca="1">IF(M15=0, "", NISTmap!K22)</f>
        <v>0</v>
      </c>
      <c r="M15" s="672">
        <f>NISTmap!O22</f>
        <v>2</v>
      </c>
      <c r="N15" s="671">
        <f ca="1">IF(O15=0, "", NISTmap!Q22)</f>
        <v>0</v>
      </c>
      <c r="O15" s="673">
        <f>NISTmap!R22</f>
        <v>2</v>
      </c>
      <c r="P15" s="671" t="str">
        <f>IF(Q15=0, "", NISTmap!T22)</f>
        <v/>
      </c>
      <c r="Q15" s="674">
        <f>NISTmap!U22</f>
        <v>0</v>
      </c>
      <c r="R15" s="638"/>
      <c r="S15" s="26"/>
      <c r="T15" s="45"/>
      <c r="U15" s="12"/>
      <c r="V15" s="1162"/>
      <c r="W15" s="12"/>
    </row>
    <row r="16" spans="1:23" ht="30" customHeight="1" x14ac:dyDescent="0.25">
      <c r="A16" s="3"/>
      <c r="B16" s="633"/>
      <c r="C16" s="654"/>
      <c r="D16" s="1284"/>
      <c r="E16" s="675"/>
      <c r="F16" s="676" t="s">
        <v>2026</v>
      </c>
      <c r="G16" s="1281"/>
      <c r="H16" s="677" t="s">
        <v>1887</v>
      </c>
      <c r="I16" s="678" t="s">
        <v>2036</v>
      </c>
      <c r="J16" s="659">
        <f ca="1">IF(K16=0, "", NISTmap!K23)</f>
        <v>0</v>
      </c>
      <c r="K16" s="660">
        <f>NISTmap!L23</f>
        <v>4</v>
      </c>
      <c r="L16" s="661">
        <f ca="1">IF(M16=0, "", NISTmap!K23)</f>
        <v>0</v>
      </c>
      <c r="M16" s="662">
        <f>NISTmap!O23</f>
        <v>1</v>
      </c>
      <c r="N16" s="661">
        <f ca="1">IF(O16=0, "", NISTmap!Q23)</f>
        <v>0</v>
      </c>
      <c r="O16" s="663">
        <f>NISTmap!R23</f>
        <v>1</v>
      </c>
      <c r="P16" s="661">
        <f ca="1">IF(Q16=0, "", NISTmap!T23)</f>
        <v>0</v>
      </c>
      <c r="Q16" s="664">
        <f>NISTmap!U23</f>
        <v>2</v>
      </c>
      <c r="R16" s="638"/>
      <c r="S16" s="26"/>
      <c r="T16" s="45"/>
      <c r="U16" s="12"/>
      <c r="V16" s="12"/>
      <c r="W16" s="12"/>
    </row>
    <row r="17" spans="1:23" ht="30" customHeight="1" x14ac:dyDescent="0.25">
      <c r="A17" s="3"/>
      <c r="B17" s="633"/>
      <c r="C17" s="654"/>
      <c r="D17" s="1284"/>
      <c r="E17" s="675"/>
      <c r="F17" s="676" t="s">
        <v>2026</v>
      </c>
      <c r="G17" s="1281"/>
      <c r="H17" s="677" t="s">
        <v>1892</v>
      </c>
      <c r="I17" s="678" t="s">
        <v>2037</v>
      </c>
      <c r="J17" s="659">
        <f ca="1">IF(K17=0, "", NISTmap!K24)</f>
        <v>0</v>
      </c>
      <c r="K17" s="660">
        <f>NISTmap!L24</f>
        <v>4</v>
      </c>
      <c r="L17" s="661" t="str">
        <f>IF(M17=0, "", NISTmap!K24)</f>
        <v/>
      </c>
      <c r="M17" s="662">
        <f>NISTmap!O24</f>
        <v>0</v>
      </c>
      <c r="N17" s="661">
        <f ca="1">IF(O17=0, "", NISTmap!Q24)</f>
        <v>0</v>
      </c>
      <c r="O17" s="663">
        <f>NISTmap!R24</f>
        <v>2</v>
      </c>
      <c r="P17" s="661">
        <f ca="1">IF(Q17=0, "", NISTmap!T24)</f>
        <v>0</v>
      </c>
      <c r="Q17" s="664">
        <f>NISTmap!U24</f>
        <v>2</v>
      </c>
      <c r="R17" s="638"/>
      <c r="S17" s="26"/>
      <c r="T17" s="45"/>
    </row>
    <row r="18" spans="1:23" ht="30" customHeight="1" x14ac:dyDescent="0.25">
      <c r="A18" s="3"/>
      <c r="B18" s="633"/>
      <c r="C18" s="654"/>
      <c r="D18" s="1284"/>
      <c r="E18" s="675"/>
      <c r="F18" s="676" t="s">
        <v>2026</v>
      </c>
      <c r="G18" s="1281"/>
      <c r="H18" s="677" t="s">
        <v>1879</v>
      </c>
      <c r="I18" s="678" t="s">
        <v>2038</v>
      </c>
      <c r="J18" s="659">
        <f ca="1">IF(K18=0, "", NISTmap!K25)</f>
        <v>0</v>
      </c>
      <c r="K18" s="660">
        <f>NISTmap!L25</f>
        <v>31</v>
      </c>
      <c r="L18" s="661">
        <f ca="1">IF(M18=0, "", NISTmap!K25)</f>
        <v>0</v>
      </c>
      <c r="M18" s="662">
        <f>NISTmap!O25</f>
        <v>10</v>
      </c>
      <c r="N18" s="661">
        <f ca="1">IF(O18=0, "", NISTmap!Q25)</f>
        <v>0</v>
      </c>
      <c r="O18" s="663">
        <f>NISTmap!R25</f>
        <v>13</v>
      </c>
      <c r="P18" s="661">
        <f ca="1">IF(Q18=0, "", NISTmap!T25)</f>
        <v>0</v>
      </c>
      <c r="Q18" s="664">
        <f>NISTmap!U25</f>
        <v>8</v>
      </c>
      <c r="R18" s="638"/>
      <c r="S18" s="26"/>
      <c r="T18" s="45"/>
    </row>
    <row r="19" spans="1:23" ht="45" customHeight="1" x14ac:dyDescent="0.25">
      <c r="A19" s="3"/>
      <c r="B19" s="633"/>
      <c r="C19" s="654"/>
      <c r="D19" s="1284"/>
      <c r="E19" s="679"/>
      <c r="F19" s="680" t="s">
        <v>2026</v>
      </c>
      <c r="G19" s="1282"/>
      <c r="H19" s="681" t="s">
        <v>1896</v>
      </c>
      <c r="I19" s="682" t="s">
        <v>2039</v>
      </c>
      <c r="J19" s="683">
        <f ca="1">IF(K19=0, "", NISTmap!K26)</f>
        <v>0</v>
      </c>
      <c r="K19" s="684">
        <f>NISTmap!L26</f>
        <v>15</v>
      </c>
      <c r="L19" s="685">
        <f ca="1">IF(M19=0, "", NISTmap!K26)</f>
        <v>0</v>
      </c>
      <c r="M19" s="686">
        <f>NISTmap!O26</f>
        <v>6</v>
      </c>
      <c r="N19" s="685">
        <f ca="1">IF(O19=0, "", NISTmap!Q26)</f>
        <v>0</v>
      </c>
      <c r="O19" s="687">
        <f>NISTmap!R26</f>
        <v>6</v>
      </c>
      <c r="P19" s="685">
        <f ca="1">IF(Q19=0, "", NISTmap!T26)</f>
        <v>0</v>
      </c>
      <c r="Q19" s="688">
        <f>NISTmap!U26</f>
        <v>3</v>
      </c>
      <c r="R19" s="638"/>
      <c r="S19" s="26"/>
      <c r="T19" s="45"/>
    </row>
    <row r="20" spans="1:23" ht="30" customHeight="1" x14ac:dyDescent="0.25">
      <c r="A20" s="3"/>
      <c r="B20" s="633"/>
      <c r="C20" s="654"/>
      <c r="D20" s="1284"/>
      <c r="E20" s="655" t="s">
        <v>2040</v>
      </c>
      <c r="F20" s="656" t="s">
        <v>2041</v>
      </c>
      <c r="G20" s="1279" t="s">
        <v>2042</v>
      </c>
      <c r="H20" s="657" t="s">
        <v>1890</v>
      </c>
      <c r="I20" s="658" t="s">
        <v>2043</v>
      </c>
      <c r="J20" s="659">
        <f ca="1">IF(K20=0, "", NISTmap!K27)</f>
        <v>0</v>
      </c>
      <c r="K20" s="660">
        <f>NISTmap!L27</f>
        <v>5</v>
      </c>
      <c r="L20" s="661">
        <f ca="1">IF(M20=0, "", NISTmap!K27)</f>
        <v>0</v>
      </c>
      <c r="M20" s="662">
        <f>NISTmap!O27</f>
        <v>2</v>
      </c>
      <c r="N20" s="661">
        <f ca="1">IF(O20=0, "", NISTmap!Q27)</f>
        <v>0</v>
      </c>
      <c r="O20" s="663">
        <f>NISTmap!R27</f>
        <v>2</v>
      </c>
      <c r="P20" s="661">
        <f ca="1">IF(Q20=0, "", NISTmap!T27)</f>
        <v>0</v>
      </c>
      <c r="Q20" s="664">
        <f>NISTmap!U27</f>
        <v>1</v>
      </c>
      <c r="R20" s="638"/>
      <c r="S20" s="26"/>
      <c r="T20" s="42"/>
      <c r="U20" s="80"/>
      <c r="V20" s="80"/>
      <c r="W20" s="80"/>
    </row>
    <row r="21" spans="1:23" ht="30" customHeight="1" x14ac:dyDescent="0.25">
      <c r="A21" s="3"/>
      <c r="B21" s="633"/>
      <c r="C21" s="654"/>
      <c r="D21" s="1284"/>
      <c r="E21" s="655"/>
      <c r="F21" s="656" t="s">
        <v>2026</v>
      </c>
      <c r="G21" s="1279"/>
      <c r="H21" s="657" t="s">
        <v>1858</v>
      </c>
      <c r="I21" s="658" t="s">
        <v>2044</v>
      </c>
      <c r="J21" s="659">
        <f ca="1">IF(K21=0, "", NISTmap!K28)</f>
        <v>0</v>
      </c>
      <c r="K21" s="660">
        <f>NISTmap!L28</f>
        <v>15</v>
      </c>
      <c r="L21" s="661">
        <f ca="1">IF(M21=0, "", NISTmap!K28)</f>
        <v>0</v>
      </c>
      <c r="M21" s="662">
        <f>NISTmap!O28</f>
        <v>2</v>
      </c>
      <c r="N21" s="661">
        <f ca="1">IF(O21=0, "", NISTmap!Q28)</f>
        <v>0</v>
      </c>
      <c r="O21" s="663">
        <f>NISTmap!R28</f>
        <v>1</v>
      </c>
      <c r="P21" s="661">
        <f ca="1">IF(Q21=0, "", NISTmap!T28)</f>
        <v>0</v>
      </c>
      <c r="Q21" s="664">
        <f>NISTmap!U28</f>
        <v>12</v>
      </c>
      <c r="R21" s="638"/>
      <c r="S21" s="26"/>
      <c r="T21" s="42"/>
      <c r="U21" s="80"/>
      <c r="V21" s="80"/>
      <c r="W21" s="80"/>
    </row>
    <row r="22" spans="1:23" ht="45" customHeight="1" x14ac:dyDescent="0.25">
      <c r="A22" s="3"/>
      <c r="B22" s="633"/>
      <c r="C22" s="654"/>
      <c r="D22" s="1284"/>
      <c r="E22" s="655"/>
      <c r="F22" s="656" t="s">
        <v>2026</v>
      </c>
      <c r="G22" s="1279"/>
      <c r="H22" s="657" t="s">
        <v>1904</v>
      </c>
      <c r="I22" s="658" t="s">
        <v>2045</v>
      </c>
      <c r="J22" s="659">
        <f ca="1">IF(K22=0, "", NISTmap!K29)</f>
        <v>0</v>
      </c>
      <c r="K22" s="660">
        <f>NISTmap!L29</f>
        <v>3</v>
      </c>
      <c r="L22" s="661" t="str">
        <f>IF(M22=0, "", NISTmap!K29)</f>
        <v/>
      </c>
      <c r="M22" s="662">
        <f>NISTmap!O29</f>
        <v>0</v>
      </c>
      <c r="N22" s="661">
        <f ca="1">IF(O22=0, "", NISTmap!Q29)</f>
        <v>0</v>
      </c>
      <c r="O22" s="663">
        <f>NISTmap!R29</f>
        <v>1</v>
      </c>
      <c r="P22" s="661">
        <f ca="1">IF(Q22=0, "", NISTmap!T29)</f>
        <v>0</v>
      </c>
      <c r="Q22" s="664">
        <f>NISTmap!U29</f>
        <v>2</v>
      </c>
      <c r="R22" s="638"/>
      <c r="S22" s="26"/>
    </row>
    <row r="23" spans="1:23" ht="30" customHeight="1" x14ac:dyDescent="0.25">
      <c r="A23" s="3"/>
      <c r="B23" s="633"/>
      <c r="C23" s="654"/>
      <c r="D23" s="1284"/>
      <c r="E23" s="655"/>
      <c r="F23" s="656" t="s">
        <v>2026</v>
      </c>
      <c r="G23" s="1279"/>
      <c r="H23" s="657" t="s">
        <v>1894</v>
      </c>
      <c r="I23" s="658" t="s">
        <v>2046</v>
      </c>
      <c r="J23" s="659">
        <f ca="1">IF(K23=0, "", NISTmap!K30)</f>
        <v>0</v>
      </c>
      <c r="K23" s="660">
        <f>NISTmap!L30</f>
        <v>36</v>
      </c>
      <c r="L23" s="661">
        <f ca="1">IF(M23=0, "", NISTmap!K30)</f>
        <v>0</v>
      </c>
      <c r="M23" s="662">
        <f>NISTmap!O30</f>
        <v>4</v>
      </c>
      <c r="N23" s="661">
        <f ca="1">IF(O23=0, "", NISTmap!Q30)</f>
        <v>0</v>
      </c>
      <c r="O23" s="663">
        <f>NISTmap!R30</f>
        <v>18</v>
      </c>
      <c r="P23" s="661">
        <f ca="1">IF(Q23=0, "", NISTmap!T30)</f>
        <v>0</v>
      </c>
      <c r="Q23" s="664">
        <f>NISTmap!U30</f>
        <v>14</v>
      </c>
      <c r="R23" s="638"/>
      <c r="S23" s="26"/>
    </row>
    <row r="24" spans="1:23" ht="30" customHeight="1" x14ac:dyDescent="0.25">
      <c r="A24" s="3"/>
      <c r="B24" s="633"/>
      <c r="C24" s="654"/>
      <c r="D24" s="1284"/>
      <c r="E24" s="665" t="s">
        <v>2047</v>
      </c>
      <c r="F24" s="666" t="s">
        <v>2048</v>
      </c>
      <c r="G24" s="1280" t="s">
        <v>2049</v>
      </c>
      <c r="H24" s="667" t="s">
        <v>1937</v>
      </c>
      <c r="I24" s="668" t="s">
        <v>2050</v>
      </c>
      <c r="J24" s="669">
        <f ca="1">IF(K24=0, "", NISTmap!K31)</f>
        <v>0</v>
      </c>
      <c r="K24" s="670">
        <f>NISTmap!L31</f>
        <v>8</v>
      </c>
      <c r="L24" s="671">
        <f ca="1">IF(M24=0, "", NISTmap!K31)</f>
        <v>0</v>
      </c>
      <c r="M24" s="672">
        <f>NISTmap!O31</f>
        <v>3</v>
      </c>
      <c r="N24" s="671">
        <f ca="1">IF(O24=0, "", NISTmap!Q31)</f>
        <v>0</v>
      </c>
      <c r="O24" s="673">
        <f>NISTmap!R31</f>
        <v>3</v>
      </c>
      <c r="P24" s="671">
        <f ca="1">IF(Q24=0, "", NISTmap!T31)</f>
        <v>0</v>
      </c>
      <c r="Q24" s="674">
        <f>NISTmap!U31</f>
        <v>2</v>
      </c>
      <c r="R24" s="638"/>
      <c r="S24" s="26"/>
    </row>
    <row r="25" spans="1:23" ht="30" customHeight="1" x14ac:dyDescent="0.25">
      <c r="A25" s="3"/>
      <c r="B25" s="633"/>
      <c r="C25" s="654"/>
      <c r="D25" s="1284"/>
      <c r="E25" s="675"/>
      <c r="F25" s="676" t="s">
        <v>2026</v>
      </c>
      <c r="G25" s="1281"/>
      <c r="H25" s="677" t="s">
        <v>1938</v>
      </c>
      <c r="I25" s="678" t="s">
        <v>2051</v>
      </c>
      <c r="J25" s="659">
        <f ca="1">IF(K25=0, "", NISTmap!K32)</f>
        <v>0</v>
      </c>
      <c r="K25" s="660">
        <f>NISTmap!L32</f>
        <v>7</v>
      </c>
      <c r="L25" s="661">
        <f ca="1">IF(M25=0, "", NISTmap!K32)</f>
        <v>0</v>
      </c>
      <c r="M25" s="662">
        <f>NISTmap!O32</f>
        <v>4</v>
      </c>
      <c r="N25" s="661">
        <f ca="1">IF(O25=0, "", NISTmap!Q32)</f>
        <v>0</v>
      </c>
      <c r="O25" s="663">
        <f>NISTmap!R32</f>
        <v>2</v>
      </c>
      <c r="P25" s="661">
        <f ca="1">IF(Q25=0, "", NISTmap!T32)</f>
        <v>0</v>
      </c>
      <c r="Q25" s="664">
        <f>NISTmap!U32</f>
        <v>1</v>
      </c>
      <c r="R25" s="638"/>
      <c r="S25" s="26"/>
    </row>
    <row r="26" spans="1:23" ht="30" customHeight="1" x14ac:dyDescent="0.25">
      <c r="A26" s="3"/>
      <c r="B26" s="633"/>
      <c r="C26" s="654"/>
      <c r="D26" s="1284"/>
      <c r="E26" s="675"/>
      <c r="F26" s="676" t="s">
        <v>2026</v>
      </c>
      <c r="G26" s="1281"/>
      <c r="H26" s="677" t="s">
        <v>1940</v>
      </c>
      <c r="I26" s="678" t="s">
        <v>2052</v>
      </c>
      <c r="J26" s="659">
        <f ca="1">IF(K26=0, "", NISTmap!K33)</f>
        <v>0</v>
      </c>
      <c r="K26" s="660">
        <f>NISTmap!L33</f>
        <v>9</v>
      </c>
      <c r="L26" s="661">
        <f ca="1">IF(M26=0, "", NISTmap!K33)</f>
        <v>0</v>
      </c>
      <c r="M26" s="662">
        <f>NISTmap!O33</f>
        <v>2</v>
      </c>
      <c r="N26" s="661">
        <f ca="1">IF(O26=0, "", NISTmap!Q33)</f>
        <v>0</v>
      </c>
      <c r="O26" s="663">
        <f>NISTmap!R33</f>
        <v>4</v>
      </c>
      <c r="P26" s="661">
        <f ca="1">IF(Q26=0, "", NISTmap!T33)</f>
        <v>0</v>
      </c>
      <c r="Q26" s="664">
        <f>NISTmap!U33</f>
        <v>3</v>
      </c>
      <c r="R26" s="638"/>
      <c r="S26" s="26"/>
    </row>
    <row r="27" spans="1:23" ht="30" customHeight="1" x14ac:dyDescent="0.25">
      <c r="A27" s="3"/>
      <c r="B27" s="633"/>
      <c r="C27" s="654"/>
      <c r="D27" s="1284"/>
      <c r="E27" s="675"/>
      <c r="F27" s="676" t="s">
        <v>2026</v>
      </c>
      <c r="G27" s="1281"/>
      <c r="H27" s="677" t="s">
        <v>1941</v>
      </c>
      <c r="I27" s="678" t="s">
        <v>2053</v>
      </c>
      <c r="J27" s="659">
        <f ca="1">IF(K27=0, "", NISTmap!K34)</f>
        <v>0</v>
      </c>
      <c r="K27" s="660">
        <f>NISTmap!L34</f>
        <v>7</v>
      </c>
      <c r="L27" s="661" t="str">
        <f>IF(M27=0, "", NISTmap!K34)</f>
        <v/>
      </c>
      <c r="M27" s="662">
        <f>NISTmap!O34</f>
        <v>0</v>
      </c>
      <c r="N27" s="661">
        <f ca="1">IF(O27=0, "", NISTmap!Q34)</f>
        <v>0</v>
      </c>
      <c r="O27" s="663">
        <f>NISTmap!R34</f>
        <v>4</v>
      </c>
      <c r="P27" s="661">
        <f ca="1">IF(Q27=0, "", NISTmap!T34)</f>
        <v>0</v>
      </c>
      <c r="Q27" s="664">
        <f>NISTmap!U34</f>
        <v>3</v>
      </c>
      <c r="R27" s="638"/>
      <c r="S27" s="26"/>
    </row>
    <row r="28" spans="1:23" ht="30" customHeight="1" x14ac:dyDescent="0.25">
      <c r="A28" s="3"/>
      <c r="B28" s="633"/>
      <c r="C28" s="654"/>
      <c r="D28" s="1284"/>
      <c r="E28" s="675"/>
      <c r="F28" s="676" t="s">
        <v>2026</v>
      </c>
      <c r="G28" s="1281"/>
      <c r="H28" s="677" t="s">
        <v>1880</v>
      </c>
      <c r="I28" s="678" t="s">
        <v>2054</v>
      </c>
      <c r="J28" s="659">
        <f ca="1">IF(K28=0, "", NISTmap!K35)</f>
        <v>0</v>
      </c>
      <c r="K28" s="660">
        <f>NISTmap!L35</f>
        <v>13</v>
      </c>
      <c r="L28" s="661">
        <f ca="1">IF(M28=0, "", NISTmap!K35)</f>
        <v>0</v>
      </c>
      <c r="M28" s="662">
        <f>NISTmap!O35</f>
        <v>1</v>
      </c>
      <c r="N28" s="661">
        <f ca="1">IF(O28=0, "", NISTmap!Q35)</f>
        <v>0</v>
      </c>
      <c r="O28" s="663">
        <f>NISTmap!R35</f>
        <v>6</v>
      </c>
      <c r="P28" s="661">
        <f ca="1">IF(Q28=0, "", NISTmap!T35)</f>
        <v>0</v>
      </c>
      <c r="Q28" s="664">
        <f>NISTmap!U35</f>
        <v>6</v>
      </c>
      <c r="R28" s="638"/>
      <c r="S28" s="26"/>
    </row>
    <row r="29" spans="1:23" ht="30" customHeight="1" x14ac:dyDescent="0.25">
      <c r="A29" s="3"/>
      <c r="B29" s="633"/>
      <c r="C29" s="654"/>
      <c r="D29" s="1284"/>
      <c r="E29" s="679"/>
      <c r="F29" s="680" t="s">
        <v>2026</v>
      </c>
      <c r="G29" s="1282"/>
      <c r="H29" s="681" t="s">
        <v>1930</v>
      </c>
      <c r="I29" s="682" t="s">
        <v>2055</v>
      </c>
      <c r="J29" s="683">
        <f ca="1">IF(K29=0, "", NISTmap!K36)</f>
        <v>0</v>
      </c>
      <c r="K29" s="684">
        <f>NISTmap!L36</f>
        <v>6</v>
      </c>
      <c r="L29" s="685">
        <f ca="1">IF(M29=0, "", NISTmap!K36)</f>
        <v>0</v>
      </c>
      <c r="M29" s="686">
        <f>NISTmap!O36</f>
        <v>1</v>
      </c>
      <c r="N29" s="685">
        <f ca="1">IF(O29=0, "", NISTmap!Q36)</f>
        <v>0</v>
      </c>
      <c r="O29" s="687">
        <f>NISTmap!R36</f>
        <v>2</v>
      </c>
      <c r="P29" s="685">
        <f ca="1">IF(Q29=0, "", NISTmap!T36)</f>
        <v>0</v>
      </c>
      <c r="Q29" s="688">
        <f>NISTmap!U36</f>
        <v>3</v>
      </c>
      <c r="R29" s="638"/>
      <c r="S29" s="26"/>
    </row>
    <row r="30" spans="1:23" ht="30" customHeight="1" x14ac:dyDescent="0.25">
      <c r="A30" s="3"/>
      <c r="B30" s="633"/>
      <c r="C30" s="654"/>
      <c r="D30" s="1284"/>
      <c r="E30" s="655" t="s">
        <v>2056</v>
      </c>
      <c r="F30" s="656" t="s">
        <v>2057</v>
      </c>
      <c r="G30" s="1279" t="s">
        <v>2058</v>
      </c>
      <c r="H30" s="657" t="s">
        <v>1895</v>
      </c>
      <c r="I30" s="658" t="s">
        <v>2059</v>
      </c>
      <c r="J30" s="659">
        <f ca="1">IF(K30=0, "", NISTmap!K37)</f>
        <v>0</v>
      </c>
      <c r="K30" s="660">
        <f>NISTmap!L37</f>
        <v>38</v>
      </c>
      <c r="L30" s="661">
        <f ca="1">IF(M30=0, "", NISTmap!K37)</f>
        <v>0</v>
      </c>
      <c r="M30" s="662">
        <f>NISTmap!O37</f>
        <v>4</v>
      </c>
      <c r="N30" s="661">
        <f ca="1">IF(O30=0, "", NISTmap!Q37)</f>
        <v>0</v>
      </c>
      <c r="O30" s="663">
        <f>NISTmap!R37</f>
        <v>19</v>
      </c>
      <c r="P30" s="661">
        <f ca="1">IF(Q30=0, "", NISTmap!T37)</f>
        <v>0</v>
      </c>
      <c r="Q30" s="664">
        <f>NISTmap!U37</f>
        <v>15</v>
      </c>
      <c r="R30" s="638"/>
      <c r="S30" s="26"/>
    </row>
    <row r="31" spans="1:23" ht="30" customHeight="1" x14ac:dyDescent="0.25">
      <c r="A31" s="3"/>
      <c r="B31" s="633"/>
      <c r="C31" s="654"/>
      <c r="D31" s="1284"/>
      <c r="E31" s="655"/>
      <c r="F31" s="656" t="s">
        <v>2026</v>
      </c>
      <c r="G31" s="1279"/>
      <c r="H31" s="657" t="s">
        <v>1932</v>
      </c>
      <c r="I31" s="658" t="s">
        <v>2060</v>
      </c>
      <c r="J31" s="659">
        <f ca="1">IF(K31=0, "", NISTmap!K38)</f>
        <v>0</v>
      </c>
      <c r="K31" s="660">
        <f>NISTmap!L38</f>
        <v>1</v>
      </c>
      <c r="L31" s="661" t="str">
        <f>IF(M31=0, "", NISTmap!K38)</f>
        <v/>
      </c>
      <c r="M31" s="662">
        <f>NISTmap!O38</f>
        <v>0</v>
      </c>
      <c r="N31" s="661" t="str">
        <f>IF(O31=0, "", NISTmap!Q38)</f>
        <v/>
      </c>
      <c r="O31" s="663">
        <f>NISTmap!R38</f>
        <v>0</v>
      </c>
      <c r="P31" s="661">
        <f ca="1">IF(Q31=0, "", NISTmap!T38)</f>
        <v>0</v>
      </c>
      <c r="Q31" s="664">
        <f>NISTmap!U38</f>
        <v>1</v>
      </c>
      <c r="R31" s="638"/>
      <c r="S31" s="26"/>
    </row>
    <row r="32" spans="1:23" ht="30" customHeight="1" x14ac:dyDescent="0.25">
      <c r="A32" s="3"/>
      <c r="B32" s="633"/>
      <c r="C32" s="654"/>
      <c r="D32" s="1284"/>
      <c r="E32" s="655"/>
      <c r="F32" s="656" t="s">
        <v>2026</v>
      </c>
      <c r="G32" s="1279"/>
      <c r="H32" s="657" t="s">
        <v>2061</v>
      </c>
      <c r="I32" s="658" t="s">
        <v>2062</v>
      </c>
      <c r="J32" s="659" t="str">
        <f>IF(K32=0, "", NISTmap!K39)</f>
        <v/>
      </c>
      <c r="K32" s="660">
        <f>NISTmap!L39</f>
        <v>0</v>
      </c>
      <c r="L32" s="661" t="str">
        <f>IF(M32=0, "", NISTmap!K39)</f>
        <v/>
      </c>
      <c r="M32" s="662">
        <f>NISTmap!O39</f>
        <v>0</v>
      </c>
      <c r="N32" s="661" t="str">
        <f>IF(O32=0, "", NISTmap!Q39)</f>
        <v/>
      </c>
      <c r="O32" s="663">
        <f>NISTmap!R39</f>
        <v>0</v>
      </c>
      <c r="P32" s="661" t="str">
        <f>IF(Q32=0, "", NISTmap!T39)</f>
        <v/>
      </c>
      <c r="Q32" s="664">
        <f>NISTmap!U39</f>
        <v>0</v>
      </c>
      <c r="R32" s="638"/>
      <c r="S32" s="26"/>
    </row>
    <row r="33" spans="1:19" ht="45" customHeight="1" x14ac:dyDescent="0.25">
      <c r="A33" s="3"/>
      <c r="B33" s="633"/>
      <c r="C33" s="654"/>
      <c r="D33" s="1284"/>
      <c r="E33" s="665" t="s">
        <v>2063</v>
      </c>
      <c r="F33" s="666" t="s">
        <v>2064</v>
      </c>
      <c r="G33" s="1280" t="s">
        <v>2065</v>
      </c>
      <c r="H33" s="667" t="s">
        <v>1891</v>
      </c>
      <c r="I33" s="668" t="s">
        <v>2066</v>
      </c>
      <c r="J33" s="669">
        <f ca="1">IF(K33=0, "", NISTmap!K40)</f>
        <v>0</v>
      </c>
      <c r="K33" s="670">
        <f>NISTmap!L40</f>
        <v>15</v>
      </c>
      <c r="L33" s="671">
        <f ca="1">IF(M33=0, "", NISTmap!K40)</f>
        <v>0</v>
      </c>
      <c r="M33" s="672">
        <f>NISTmap!O40</f>
        <v>4</v>
      </c>
      <c r="N33" s="671">
        <f ca="1">IF(O33=0, "", NISTmap!Q40)</f>
        <v>0</v>
      </c>
      <c r="O33" s="673">
        <f>NISTmap!R40</f>
        <v>6</v>
      </c>
      <c r="P33" s="671">
        <f ca="1">IF(Q33=0, "", NISTmap!T40)</f>
        <v>0</v>
      </c>
      <c r="Q33" s="674">
        <f>NISTmap!U40</f>
        <v>5</v>
      </c>
      <c r="R33" s="638"/>
      <c r="S33" s="26"/>
    </row>
    <row r="34" spans="1:19" ht="45" customHeight="1" x14ac:dyDescent="0.25">
      <c r="A34" s="3"/>
      <c r="B34" s="633"/>
      <c r="C34" s="654"/>
      <c r="D34" s="1284"/>
      <c r="E34" s="675"/>
      <c r="F34" s="676" t="s">
        <v>2026</v>
      </c>
      <c r="G34" s="1281"/>
      <c r="H34" s="677" t="s">
        <v>1871</v>
      </c>
      <c r="I34" s="678" t="s">
        <v>2067</v>
      </c>
      <c r="J34" s="659">
        <f ca="1">IF(K34=0, "", NISTmap!K41)</f>
        <v>0</v>
      </c>
      <c r="K34" s="660">
        <f>NISTmap!L41</f>
        <v>10</v>
      </c>
      <c r="L34" s="661">
        <f ca="1">IF(M34=0, "", NISTmap!K41)</f>
        <v>0</v>
      </c>
      <c r="M34" s="662">
        <f>NISTmap!O41</f>
        <v>2</v>
      </c>
      <c r="N34" s="661">
        <f ca="1">IF(O34=0, "", NISTmap!Q41)</f>
        <v>0</v>
      </c>
      <c r="O34" s="663">
        <f>NISTmap!R41</f>
        <v>5</v>
      </c>
      <c r="P34" s="661">
        <f ca="1">IF(Q34=0, "", NISTmap!T41)</f>
        <v>0</v>
      </c>
      <c r="Q34" s="664">
        <f>NISTmap!U41</f>
        <v>3</v>
      </c>
      <c r="R34" s="638"/>
      <c r="S34" s="26"/>
    </row>
    <row r="35" spans="1:19" ht="60" customHeight="1" x14ac:dyDescent="0.25">
      <c r="A35" s="3"/>
      <c r="B35" s="633"/>
      <c r="C35" s="654"/>
      <c r="D35" s="1284"/>
      <c r="E35" s="675"/>
      <c r="F35" s="676" t="s">
        <v>2026</v>
      </c>
      <c r="G35" s="1281"/>
      <c r="H35" s="677" t="s">
        <v>1935</v>
      </c>
      <c r="I35" s="678" t="s">
        <v>2068</v>
      </c>
      <c r="J35" s="659">
        <f ca="1">IF(K35=0, "", NISTmap!K42)</f>
        <v>0</v>
      </c>
      <c r="K35" s="660">
        <f>NISTmap!L42</f>
        <v>8</v>
      </c>
      <c r="L35" s="661">
        <f ca="1">IF(M35=0, "", NISTmap!K42)</f>
        <v>0</v>
      </c>
      <c r="M35" s="662">
        <f>NISTmap!O42</f>
        <v>2</v>
      </c>
      <c r="N35" s="661">
        <f ca="1">IF(O35=0, "", NISTmap!Q42)</f>
        <v>0</v>
      </c>
      <c r="O35" s="663">
        <f>NISTmap!R42</f>
        <v>3</v>
      </c>
      <c r="P35" s="661">
        <f ca="1">IF(Q35=0, "", NISTmap!T42)</f>
        <v>0</v>
      </c>
      <c r="Q35" s="664">
        <f>NISTmap!U42</f>
        <v>3</v>
      </c>
      <c r="R35" s="638"/>
      <c r="S35" s="26"/>
    </row>
    <row r="36" spans="1:19" ht="45" customHeight="1" x14ac:dyDescent="0.25">
      <c r="A36" s="3"/>
      <c r="B36" s="633"/>
      <c r="C36" s="654"/>
      <c r="D36" s="1284"/>
      <c r="E36" s="675"/>
      <c r="F36" s="676" t="s">
        <v>2026</v>
      </c>
      <c r="G36" s="1281"/>
      <c r="H36" s="677" t="s">
        <v>1936</v>
      </c>
      <c r="I36" s="678" t="s">
        <v>2069</v>
      </c>
      <c r="J36" s="659">
        <f ca="1">IF(K36=0, "", NISTmap!K43)</f>
        <v>0</v>
      </c>
      <c r="K36" s="660">
        <f>NISTmap!L43</f>
        <v>3</v>
      </c>
      <c r="L36" s="661" t="str">
        <f>IF(M36=0, "", NISTmap!K43)</f>
        <v/>
      </c>
      <c r="M36" s="662">
        <f>NISTmap!O43</f>
        <v>0</v>
      </c>
      <c r="N36" s="661">
        <f ca="1">IF(O36=0, "", NISTmap!Q43)</f>
        <v>0</v>
      </c>
      <c r="O36" s="663">
        <f>NISTmap!R43</f>
        <v>2</v>
      </c>
      <c r="P36" s="661">
        <f ca="1">IF(Q36=0, "", NISTmap!T43)</f>
        <v>0</v>
      </c>
      <c r="Q36" s="664">
        <f>NISTmap!U43</f>
        <v>1</v>
      </c>
      <c r="R36" s="638"/>
      <c r="S36" s="26"/>
    </row>
    <row r="37" spans="1:19" ht="30" customHeight="1" x14ac:dyDescent="0.25">
      <c r="A37" s="3"/>
      <c r="B37" s="633"/>
      <c r="C37" s="654"/>
      <c r="D37" s="1285"/>
      <c r="E37" s="679"/>
      <c r="F37" s="680" t="s">
        <v>2026</v>
      </c>
      <c r="G37" s="1282"/>
      <c r="H37" s="681" t="s">
        <v>1900</v>
      </c>
      <c r="I37" s="682" t="s">
        <v>2070</v>
      </c>
      <c r="J37" s="683">
        <f ca="1">IF(K37=0, "", NISTmap!K44)</f>
        <v>0</v>
      </c>
      <c r="K37" s="684">
        <f>NISTmap!L44</f>
        <v>6</v>
      </c>
      <c r="L37" s="685">
        <f ca="1">IF(M37=0, "", NISTmap!K44)</f>
        <v>0</v>
      </c>
      <c r="M37" s="686">
        <f>NISTmap!O44</f>
        <v>1</v>
      </c>
      <c r="N37" s="685">
        <f ca="1">IF(O37=0, "", NISTmap!Q44)</f>
        <v>0</v>
      </c>
      <c r="O37" s="687">
        <f>NISTmap!R44</f>
        <v>2</v>
      </c>
      <c r="P37" s="685">
        <f ca="1">IF(Q37=0, "", NISTmap!T44)</f>
        <v>0</v>
      </c>
      <c r="Q37" s="688">
        <f>NISTmap!U44</f>
        <v>3</v>
      </c>
      <c r="R37" s="638"/>
      <c r="S37" s="26"/>
    </row>
    <row r="38" spans="1:19" ht="30" customHeight="1" x14ac:dyDescent="0.25">
      <c r="A38" s="3"/>
      <c r="B38" s="633"/>
      <c r="C38" s="654"/>
      <c r="D38" s="1283" t="s">
        <v>1835</v>
      </c>
      <c r="E38" s="689" t="s">
        <v>2071</v>
      </c>
      <c r="F38" s="666" t="s">
        <v>2072</v>
      </c>
      <c r="G38" s="1280" t="s">
        <v>2073</v>
      </c>
      <c r="H38" s="667" t="s">
        <v>1843</v>
      </c>
      <c r="I38" s="668" t="s">
        <v>2074</v>
      </c>
      <c r="J38" s="669">
        <f ca="1">IF(K38=0, "", NISTmap!K45)</f>
        <v>0</v>
      </c>
      <c r="K38" s="670">
        <f>NISTmap!L45</f>
        <v>11</v>
      </c>
      <c r="L38" s="671">
        <f ca="1">IF(M38=0, "", NISTmap!K45)</f>
        <v>0</v>
      </c>
      <c r="M38" s="672">
        <f>NISTmap!O45</f>
        <v>4</v>
      </c>
      <c r="N38" s="671">
        <f ca="1">IF(O38=0, "", NISTmap!Q45)</f>
        <v>0</v>
      </c>
      <c r="O38" s="673">
        <f>NISTmap!R45</f>
        <v>7</v>
      </c>
      <c r="P38" s="671" t="str">
        <f>IF(Q38=0, "", NISTmap!T45)</f>
        <v/>
      </c>
      <c r="Q38" s="674">
        <f>NISTmap!U45</f>
        <v>0</v>
      </c>
      <c r="R38" s="638"/>
      <c r="S38" s="26"/>
    </row>
    <row r="39" spans="1:19" ht="30" customHeight="1" x14ac:dyDescent="0.25">
      <c r="A39" s="3"/>
      <c r="B39" s="633"/>
      <c r="C39" s="654"/>
      <c r="D39" s="1283"/>
      <c r="E39" s="690"/>
      <c r="F39" s="676" t="s">
        <v>2026</v>
      </c>
      <c r="G39" s="1281"/>
      <c r="H39" s="677" t="s">
        <v>1854</v>
      </c>
      <c r="I39" s="678" t="s">
        <v>2075</v>
      </c>
      <c r="J39" s="659">
        <f ca="1">IF(K39=0, "", NISTmap!K46)</f>
        <v>0</v>
      </c>
      <c r="K39" s="660">
        <f>NISTmap!L46</f>
        <v>13</v>
      </c>
      <c r="L39" s="661">
        <f ca="1">IF(M39=0, "", NISTmap!K46)</f>
        <v>0</v>
      </c>
      <c r="M39" s="662">
        <f>NISTmap!O46</f>
        <v>4</v>
      </c>
      <c r="N39" s="661">
        <f ca="1">IF(O39=0, "", NISTmap!Q46)</f>
        <v>0</v>
      </c>
      <c r="O39" s="663">
        <f>NISTmap!R46</f>
        <v>8</v>
      </c>
      <c r="P39" s="661">
        <f ca="1">IF(Q39=0, "", NISTmap!T46)</f>
        <v>0</v>
      </c>
      <c r="Q39" s="664">
        <f>NISTmap!U46</f>
        <v>1</v>
      </c>
      <c r="R39" s="638"/>
      <c r="S39" s="26"/>
    </row>
    <row r="40" spans="1:19" ht="30" customHeight="1" x14ac:dyDescent="0.25">
      <c r="A40" s="3"/>
      <c r="B40" s="633"/>
      <c r="C40" s="654"/>
      <c r="D40" s="1283"/>
      <c r="E40" s="690"/>
      <c r="F40" s="676" t="s">
        <v>2026</v>
      </c>
      <c r="G40" s="1281"/>
      <c r="H40" s="677" t="s">
        <v>1846</v>
      </c>
      <c r="I40" s="678" t="s">
        <v>2076</v>
      </c>
      <c r="J40" s="659">
        <f ca="1">IF(K40=0, "", NISTmap!K47)</f>
        <v>0</v>
      </c>
      <c r="K40" s="660">
        <f>NISTmap!L47</f>
        <v>10</v>
      </c>
      <c r="L40" s="661">
        <f ca="1">IF(M40=0, "", NISTmap!K47)</f>
        <v>0</v>
      </c>
      <c r="M40" s="662">
        <f>NISTmap!O47</f>
        <v>2</v>
      </c>
      <c r="N40" s="661">
        <f ca="1">IF(O40=0, "", NISTmap!Q47)</f>
        <v>0</v>
      </c>
      <c r="O40" s="663">
        <f>NISTmap!R47</f>
        <v>7</v>
      </c>
      <c r="P40" s="661">
        <f ca="1">IF(Q40=0, "", NISTmap!T47)</f>
        <v>0</v>
      </c>
      <c r="Q40" s="664">
        <f>NISTmap!U47</f>
        <v>1</v>
      </c>
      <c r="R40" s="638"/>
      <c r="S40" s="26"/>
    </row>
    <row r="41" spans="1:19" ht="45" customHeight="1" x14ac:dyDescent="0.25">
      <c r="A41" s="3"/>
      <c r="B41" s="633"/>
      <c r="C41" s="654"/>
      <c r="D41" s="1283"/>
      <c r="E41" s="690"/>
      <c r="F41" s="676" t="s">
        <v>2026</v>
      </c>
      <c r="G41" s="1281"/>
      <c r="H41" s="677" t="s">
        <v>1850</v>
      </c>
      <c r="I41" s="678" t="s">
        <v>2077</v>
      </c>
      <c r="J41" s="659">
        <f ca="1">IF(K41=0, "", NISTmap!K48)</f>
        <v>0</v>
      </c>
      <c r="K41" s="660">
        <f>NISTmap!L48</f>
        <v>6</v>
      </c>
      <c r="L41" s="661" t="str">
        <f>IF(M41=0, "", NISTmap!K48)</f>
        <v/>
      </c>
      <c r="M41" s="662">
        <f>NISTmap!O48</f>
        <v>0</v>
      </c>
      <c r="N41" s="661">
        <f ca="1">IF(O41=0, "", NISTmap!Q48)</f>
        <v>0</v>
      </c>
      <c r="O41" s="663">
        <f>NISTmap!R48</f>
        <v>6</v>
      </c>
      <c r="P41" s="661" t="str">
        <f>IF(Q41=0, "", NISTmap!T48)</f>
        <v/>
      </c>
      <c r="Q41" s="664">
        <f>NISTmap!U48</f>
        <v>0</v>
      </c>
      <c r="R41" s="638"/>
      <c r="S41" s="26"/>
    </row>
    <row r="42" spans="1:19" ht="30" customHeight="1" x14ac:dyDescent="0.25">
      <c r="A42" s="3"/>
      <c r="B42" s="633"/>
      <c r="C42" s="654"/>
      <c r="D42" s="1283"/>
      <c r="E42" s="690"/>
      <c r="F42" s="676" t="s">
        <v>2026</v>
      </c>
      <c r="G42" s="1281"/>
      <c r="H42" s="677" t="s">
        <v>1860</v>
      </c>
      <c r="I42" s="678" t="s">
        <v>2078</v>
      </c>
      <c r="J42" s="659">
        <f ca="1">IF(K42=0, "", NISTmap!K49)</f>
        <v>0</v>
      </c>
      <c r="K42" s="660">
        <f>NISTmap!L49</f>
        <v>16</v>
      </c>
      <c r="L42" s="661">
        <f ca="1">IF(M42=0, "", NISTmap!K49)</f>
        <v>0</v>
      </c>
      <c r="M42" s="662">
        <f>NISTmap!O49</f>
        <v>2</v>
      </c>
      <c r="N42" s="661">
        <f ca="1">IF(O42=0, "", NISTmap!Q49)</f>
        <v>0</v>
      </c>
      <c r="O42" s="663">
        <f>NISTmap!R49</f>
        <v>8</v>
      </c>
      <c r="P42" s="661">
        <f ca="1">IF(Q42=0, "", NISTmap!T49)</f>
        <v>0</v>
      </c>
      <c r="Q42" s="664">
        <f>NISTmap!U49</f>
        <v>6</v>
      </c>
      <c r="R42" s="638"/>
      <c r="S42" s="26"/>
    </row>
    <row r="43" spans="1:19" ht="30" customHeight="1" x14ac:dyDescent="0.25">
      <c r="A43" s="3"/>
      <c r="B43" s="633"/>
      <c r="C43" s="654"/>
      <c r="D43" s="1283"/>
      <c r="E43" s="690"/>
      <c r="F43" s="676" t="s">
        <v>2026</v>
      </c>
      <c r="G43" s="1281"/>
      <c r="H43" s="677" t="s">
        <v>1844</v>
      </c>
      <c r="I43" s="678" t="s">
        <v>2079</v>
      </c>
      <c r="J43" s="659">
        <f ca="1">IF(K43=0, "", NISTmap!K50)</f>
        <v>0</v>
      </c>
      <c r="K43" s="660">
        <f>NISTmap!L50</f>
        <v>1</v>
      </c>
      <c r="L43" s="661" t="str">
        <f>IF(M43=0, "", NISTmap!K50)</f>
        <v/>
      </c>
      <c r="M43" s="662">
        <f>NISTmap!O50</f>
        <v>0</v>
      </c>
      <c r="N43" s="661">
        <f ca="1">IF(O43=0, "", NISTmap!Q50)</f>
        <v>0</v>
      </c>
      <c r="O43" s="663">
        <f>NISTmap!R50</f>
        <v>1</v>
      </c>
      <c r="P43" s="661" t="str">
        <f>IF(Q43=0, "", NISTmap!T50)</f>
        <v/>
      </c>
      <c r="Q43" s="664">
        <f>NISTmap!U50</f>
        <v>0</v>
      </c>
      <c r="R43" s="638"/>
      <c r="S43" s="26"/>
    </row>
    <row r="44" spans="1:19" ht="60" customHeight="1" x14ac:dyDescent="0.25">
      <c r="A44" s="3"/>
      <c r="B44" s="633"/>
      <c r="C44" s="654"/>
      <c r="D44" s="1283"/>
      <c r="E44" s="690"/>
      <c r="F44" s="676" t="s">
        <v>2026</v>
      </c>
      <c r="G44" s="1281"/>
      <c r="H44" s="677" t="s">
        <v>1845</v>
      </c>
      <c r="I44" s="678" t="s">
        <v>2080</v>
      </c>
      <c r="J44" s="659">
        <f ca="1">IF(K44=0, "", NISTmap!K51)</f>
        <v>0</v>
      </c>
      <c r="K44" s="660">
        <f>NISTmap!L51</f>
        <v>5</v>
      </c>
      <c r="L44" s="661" t="str">
        <f>IF(M44=0, "", NISTmap!K51)</f>
        <v/>
      </c>
      <c r="M44" s="662">
        <f>NISTmap!O51</f>
        <v>0</v>
      </c>
      <c r="N44" s="661">
        <f ca="1">IF(O44=0, "", NISTmap!Q51)</f>
        <v>0</v>
      </c>
      <c r="O44" s="663">
        <f>NISTmap!R51</f>
        <v>5</v>
      </c>
      <c r="P44" s="661" t="str">
        <f>IF(Q44=0, "", NISTmap!T51)</f>
        <v/>
      </c>
      <c r="Q44" s="664">
        <f>NISTmap!U51</f>
        <v>0</v>
      </c>
      <c r="R44" s="638"/>
      <c r="S44" s="26"/>
    </row>
    <row r="45" spans="1:19" ht="30" customHeight="1" x14ac:dyDescent="0.25">
      <c r="A45" s="3"/>
      <c r="B45" s="633"/>
      <c r="C45" s="654"/>
      <c r="D45" s="1283"/>
      <c r="E45" s="665" t="s">
        <v>2081</v>
      </c>
      <c r="F45" s="666" t="s">
        <v>2082</v>
      </c>
      <c r="G45" s="1280" t="s">
        <v>2083</v>
      </c>
      <c r="H45" s="667" t="s">
        <v>1947</v>
      </c>
      <c r="I45" s="668" t="s">
        <v>2084</v>
      </c>
      <c r="J45" s="669">
        <f ca="1">IF(K45=0, "", NISTmap!K52)</f>
        <v>0</v>
      </c>
      <c r="K45" s="670">
        <f>NISTmap!L52</f>
        <v>11</v>
      </c>
      <c r="L45" s="671">
        <f ca="1">IF(M45=0, "", NISTmap!K52)</f>
        <v>0</v>
      </c>
      <c r="M45" s="672">
        <f>NISTmap!O52</f>
        <v>3</v>
      </c>
      <c r="N45" s="671">
        <f ca="1">IF(O45=0, "", NISTmap!Q52)</f>
        <v>0</v>
      </c>
      <c r="O45" s="673">
        <f>NISTmap!R52</f>
        <v>4</v>
      </c>
      <c r="P45" s="671">
        <f ca="1">IF(Q45=0, "", NISTmap!T52)</f>
        <v>0</v>
      </c>
      <c r="Q45" s="674">
        <f>NISTmap!U52</f>
        <v>4</v>
      </c>
      <c r="R45" s="638"/>
      <c r="S45" s="26"/>
    </row>
    <row r="46" spans="1:19" ht="30" customHeight="1" x14ac:dyDescent="0.25">
      <c r="A46" s="3"/>
      <c r="B46" s="633"/>
      <c r="C46" s="654"/>
      <c r="D46" s="1283"/>
      <c r="E46" s="675"/>
      <c r="F46" s="676" t="s">
        <v>2026</v>
      </c>
      <c r="G46" s="1281"/>
      <c r="H46" s="677" t="s">
        <v>1943</v>
      </c>
      <c r="I46" s="678" t="s">
        <v>2085</v>
      </c>
      <c r="J46" s="659">
        <f ca="1">IF(K46=0, "", NISTmap!K53)</f>
        <v>0</v>
      </c>
      <c r="K46" s="660">
        <f>NISTmap!L53</f>
        <v>6</v>
      </c>
      <c r="L46" s="661">
        <f ca="1">IF(M46=0, "", NISTmap!K53)</f>
        <v>0</v>
      </c>
      <c r="M46" s="662">
        <f>NISTmap!O53</f>
        <v>2</v>
      </c>
      <c r="N46" s="661">
        <f ca="1">IF(O46=0, "", NISTmap!Q53)</f>
        <v>0</v>
      </c>
      <c r="O46" s="663">
        <f>NISTmap!R53</f>
        <v>2</v>
      </c>
      <c r="P46" s="661">
        <f ca="1">IF(Q46=0, "", NISTmap!T53)</f>
        <v>0</v>
      </c>
      <c r="Q46" s="664">
        <f>NISTmap!U53</f>
        <v>2</v>
      </c>
      <c r="R46" s="638"/>
      <c r="S46" s="26"/>
    </row>
    <row r="47" spans="1:19" ht="30" customHeight="1" x14ac:dyDescent="0.25">
      <c r="A47" s="3"/>
      <c r="B47" s="633"/>
      <c r="C47" s="654"/>
      <c r="D47" s="1283"/>
      <c r="E47" s="675"/>
      <c r="F47" s="676" t="s">
        <v>2026</v>
      </c>
      <c r="G47" s="1281"/>
      <c r="H47" s="677" t="s">
        <v>1944</v>
      </c>
      <c r="I47" s="678" t="s">
        <v>2086</v>
      </c>
      <c r="J47" s="659">
        <f ca="1">IF(K47=0, "", NISTmap!K54)</f>
        <v>0</v>
      </c>
      <c r="K47" s="660">
        <f>NISTmap!L54</f>
        <v>6</v>
      </c>
      <c r="L47" s="661">
        <f ca="1">IF(M47=0, "", NISTmap!K54)</f>
        <v>0</v>
      </c>
      <c r="M47" s="662">
        <f>NISTmap!O54</f>
        <v>2</v>
      </c>
      <c r="N47" s="661">
        <f ca="1">IF(O47=0, "", NISTmap!Q54)</f>
        <v>0</v>
      </c>
      <c r="O47" s="663">
        <f>NISTmap!R54</f>
        <v>2</v>
      </c>
      <c r="P47" s="661">
        <f ca="1">IF(Q47=0, "", NISTmap!T54)</f>
        <v>0</v>
      </c>
      <c r="Q47" s="664">
        <f>NISTmap!U54</f>
        <v>2</v>
      </c>
      <c r="R47" s="638"/>
      <c r="S47" s="26"/>
    </row>
    <row r="48" spans="1:19" ht="30" customHeight="1" x14ac:dyDescent="0.25">
      <c r="A48" s="3"/>
      <c r="B48" s="633"/>
      <c r="C48" s="654"/>
      <c r="D48" s="1283"/>
      <c r="E48" s="675"/>
      <c r="F48" s="676" t="s">
        <v>2026</v>
      </c>
      <c r="G48" s="1281"/>
      <c r="H48" s="677" t="s">
        <v>1893</v>
      </c>
      <c r="I48" s="678" t="s">
        <v>2087</v>
      </c>
      <c r="J48" s="659">
        <f ca="1">IF(K48=0, "", NISTmap!K55)</f>
        <v>0</v>
      </c>
      <c r="K48" s="660">
        <f>NISTmap!L55</f>
        <v>8</v>
      </c>
      <c r="L48" s="661">
        <f ca="1">IF(M48=0, "", NISTmap!K55)</f>
        <v>0</v>
      </c>
      <c r="M48" s="662">
        <f>NISTmap!O55</f>
        <v>2</v>
      </c>
      <c r="N48" s="661">
        <f ca="1">IF(O48=0, "", NISTmap!Q55)</f>
        <v>0</v>
      </c>
      <c r="O48" s="663">
        <f>NISTmap!R55</f>
        <v>4</v>
      </c>
      <c r="P48" s="661">
        <f ca="1">IF(Q48=0, "", NISTmap!T55)</f>
        <v>0</v>
      </c>
      <c r="Q48" s="664">
        <f>NISTmap!U55</f>
        <v>2</v>
      </c>
      <c r="R48" s="638"/>
      <c r="S48" s="26"/>
    </row>
    <row r="49" spans="1:19" ht="30" customHeight="1" x14ac:dyDescent="0.25">
      <c r="A49" s="3"/>
      <c r="B49" s="633"/>
      <c r="C49" s="654"/>
      <c r="D49" s="1283"/>
      <c r="E49" s="679"/>
      <c r="F49" s="680" t="s">
        <v>2026</v>
      </c>
      <c r="G49" s="1282"/>
      <c r="H49" s="681" t="s">
        <v>1945</v>
      </c>
      <c r="I49" s="682" t="s">
        <v>2088</v>
      </c>
      <c r="J49" s="683">
        <f ca="1">IF(K49=0, "", NISTmap!K56)</f>
        <v>0</v>
      </c>
      <c r="K49" s="684">
        <f>NISTmap!L56</f>
        <v>6</v>
      </c>
      <c r="L49" s="685">
        <f ca="1">IF(M49=0, "", NISTmap!K56)</f>
        <v>0</v>
      </c>
      <c r="M49" s="686">
        <f>NISTmap!O56</f>
        <v>2</v>
      </c>
      <c r="N49" s="685">
        <f ca="1">IF(O49=0, "", NISTmap!Q56)</f>
        <v>0</v>
      </c>
      <c r="O49" s="687">
        <f>NISTmap!R56</f>
        <v>2</v>
      </c>
      <c r="P49" s="685">
        <f ca="1">IF(Q49=0, "", NISTmap!T56)</f>
        <v>0</v>
      </c>
      <c r="Q49" s="688">
        <f>NISTmap!U56</f>
        <v>2</v>
      </c>
      <c r="R49" s="638"/>
      <c r="S49" s="26"/>
    </row>
    <row r="50" spans="1:19" ht="30" customHeight="1" x14ac:dyDescent="0.25">
      <c r="A50" s="3"/>
      <c r="B50" s="633"/>
      <c r="C50" s="654"/>
      <c r="D50" s="1283"/>
      <c r="E50" s="690" t="s">
        <v>2089</v>
      </c>
      <c r="F50" s="676" t="s">
        <v>2090</v>
      </c>
      <c r="G50" s="1281" t="s">
        <v>2091</v>
      </c>
      <c r="H50" s="677" t="s">
        <v>1874</v>
      </c>
      <c r="I50" s="678" t="s">
        <v>2092</v>
      </c>
      <c r="J50" s="659">
        <f ca="1">IF(K50=0, "", NISTmap!K57)</f>
        <v>0</v>
      </c>
      <c r="K50" s="660">
        <f>NISTmap!L57</f>
        <v>7</v>
      </c>
      <c r="L50" s="661">
        <f ca="1">IF(M50=0, "", NISTmap!K57)</f>
        <v>0</v>
      </c>
      <c r="M50" s="662">
        <f>NISTmap!O57</f>
        <v>3</v>
      </c>
      <c r="N50" s="661">
        <f ca="1">IF(O50=0, "", NISTmap!Q57)</f>
        <v>0</v>
      </c>
      <c r="O50" s="663">
        <f>NISTmap!R57</f>
        <v>3</v>
      </c>
      <c r="P50" s="661">
        <f ca="1">IF(Q50=0, "", NISTmap!T57)</f>
        <v>0</v>
      </c>
      <c r="Q50" s="664">
        <f>NISTmap!U57</f>
        <v>1</v>
      </c>
      <c r="R50" s="638"/>
      <c r="S50" s="26"/>
    </row>
    <row r="51" spans="1:19" ht="30" customHeight="1" x14ac:dyDescent="0.25">
      <c r="A51" s="3"/>
      <c r="B51" s="633"/>
      <c r="C51" s="654"/>
      <c r="D51" s="1283"/>
      <c r="E51" s="690"/>
      <c r="F51" s="676" t="s">
        <v>2026</v>
      </c>
      <c r="G51" s="1281"/>
      <c r="H51" s="677" t="s">
        <v>1875</v>
      </c>
      <c r="I51" s="678" t="s">
        <v>2093</v>
      </c>
      <c r="J51" s="659">
        <f ca="1">IF(K51=0, "", NISTmap!K58)</f>
        <v>0</v>
      </c>
      <c r="K51" s="660">
        <f>NISTmap!L58</f>
        <v>5</v>
      </c>
      <c r="L51" s="661">
        <f ca="1">IF(M51=0, "", NISTmap!K58)</f>
        <v>0</v>
      </c>
      <c r="M51" s="662">
        <f>NISTmap!O58</f>
        <v>2</v>
      </c>
      <c r="N51" s="661">
        <f ca="1">IF(O51=0, "", NISTmap!Q58)</f>
        <v>0</v>
      </c>
      <c r="O51" s="663">
        <f>NISTmap!R58</f>
        <v>3</v>
      </c>
      <c r="P51" s="661" t="str">
        <f>IF(Q51=0, "", NISTmap!T58)</f>
        <v/>
      </c>
      <c r="Q51" s="664">
        <f>NISTmap!U58</f>
        <v>0</v>
      </c>
      <c r="R51" s="638"/>
      <c r="S51" s="26"/>
    </row>
    <row r="52" spans="1:19" ht="30" customHeight="1" x14ac:dyDescent="0.25">
      <c r="A52" s="3"/>
      <c r="B52" s="633"/>
      <c r="C52" s="654"/>
      <c r="D52" s="1283"/>
      <c r="E52" s="690"/>
      <c r="F52" s="676" t="s">
        <v>2026</v>
      </c>
      <c r="G52" s="1281"/>
      <c r="H52" s="677" t="s">
        <v>1868</v>
      </c>
      <c r="I52" s="678" t="s">
        <v>2094</v>
      </c>
      <c r="J52" s="659">
        <f ca="1">IF(K52=0, "", NISTmap!K59)</f>
        <v>0</v>
      </c>
      <c r="K52" s="660">
        <f>NISTmap!L59</f>
        <v>11</v>
      </c>
      <c r="L52" s="661">
        <f ca="1">IF(M52=0, "", NISTmap!K59)</f>
        <v>0</v>
      </c>
      <c r="M52" s="662">
        <f>NISTmap!O59</f>
        <v>2</v>
      </c>
      <c r="N52" s="661">
        <f ca="1">IF(O52=0, "", NISTmap!Q59)</f>
        <v>0</v>
      </c>
      <c r="O52" s="663">
        <f>NISTmap!R59</f>
        <v>4</v>
      </c>
      <c r="P52" s="661">
        <f ca="1">IF(Q52=0, "", NISTmap!T59)</f>
        <v>0</v>
      </c>
      <c r="Q52" s="664">
        <f>NISTmap!U59</f>
        <v>5</v>
      </c>
      <c r="R52" s="638"/>
      <c r="S52" s="26"/>
    </row>
    <row r="53" spans="1:19" ht="30" customHeight="1" x14ac:dyDescent="0.25">
      <c r="A53" s="3"/>
      <c r="B53" s="633"/>
      <c r="C53" s="654"/>
      <c r="D53" s="1283"/>
      <c r="E53" s="690"/>
      <c r="F53" s="676" t="s">
        <v>2026</v>
      </c>
      <c r="G53" s="1281"/>
      <c r="H53" s="677" t="s">
        <v>1862</v>
      </c>
      <c r="I53" s="678" t="s">
        <v>2095</v>
      </c>
      <c r="J53" s="659">
        <f ca="1">IF(K53=0, "", NISTmap!K60)</f>
        <v>0</v>
      </c>
      <c r="K53" s="660">
        <f>NISTmap!L60</f>
        <v>8</v>
      </c>
      <c r="L53" s="661">
        <f ca="1">IF(M53=0, "", NISTmap!K60)</f>
        <v>0</v>
      </c>
      <c r="M53" s="662">
        <f>NISTmap!O60</f>
        <v>3</v>
      </c>
      <c r="N53" s="661">
        <f ca="1">IF(O53=0, "", NISTmap!Q60)</f>
        <v>0</v>
      </c>
      <c r="O53" s="663">
        <f>NISTmap!R60</f>
        <v>3</v>
      </c>
      <c r="P53" s="661">
        <f ca="1">IF(Q53=0, "", NISTmap!T60)</f>
        <v>0</v>
      </c>
      <c r="Q53" s="664">
        <f>NISTmap!U60</f>
        <v>2</v>
      </c>
      <c r="R53" s="638"/>
      <c r="S53" s="26"/>
    </row>
    <row r="54" spans="1:19" ht="30" customHeight="1" x14ac:dyDescent="0.25">
      <c r="A54" s="3"/>
      <c r="B54" s="633"/>
      <c r="C54" s="654"/>
      <c r="D54" s="1283"/>
      <c r="E54" s="690"/>
      <c r="F54" s="676" t="s">
        <v>2026</v>
      </c>
      <c r="G54" s="1281"/>
      <c r="H54" s="677" t="s">
        <v>1863</v>
      </c>
      <c r="I54" s="678" t="s">
        <v>2096</v>
      </c>
      <c r="J54" s="659">
        <f ca="1">IF(K54=0, "", NISTmap!K61)</f>
        <v>0</v>
      </c>
      <c r="K54" s="660">
        <f>NISTmap!L61</f>
        <v>11</v>
      </c>
      <c r="L54" s="661">
        <f ca="1">IF(M54=0, "", NISTmap!K61)</f>
        <v>0</v>
      </c>
      <c r="M54" s="662">
        <f>NISTmap!O61</f>
        <v>3</v>
      </c>
      <c r="N54" s="661">
        <f ca="1">IF(O54=0, "", NISTmap!Q61)</f>
        <v>0</v>
      </c>
      <c r="O54" s="663">
        <f>NISTmap!R61</f>
        <v>7</v>
      </c>
      <c r="P54" s="661">
        <f ca="1">IF(Q54=0, "", NISTmap!T61)</f>
        <v>0</v>
      </c>
      <c r="Q54" s="664">
        <f>NISTmap!U61</f>
        <v>1</v>
      </c>
      <c r="R54" s="638"/>
      <c r="S54" s="26"/>
    </row>
    <row r="55" spans="1:19" ht="30" customHeight="1" x14ac:dyDescent="0.25">
      <c r="A55" s="3"/>
      <c r="B55" s="633"/>
      <c r="C55" s="654"/>
      <c r="D55" s="1283"/>
      <c r="E55" s="690"/>
      <c r="F55" s="676" t="s">
        <v>2026</v>
      </c>
      <c r="G55" s="1281"/>
      <c r="H55" s="677" t="s">
        <v>1866</v>
      </c>
      <c r="I55" s="678" t="s">
        <v>2097</v>
      </c>
      <c r="J55" s="659">
        <f ca="1">IF(K55=0, "", NISTmap!K62)</f>
        <v>0</v>
      </c>
      <c r="K55" s="660">
        <f>NISTmap!L62</f>
        <v>7</v>
      </c>
      <c r="L55" s="661" t="str">
        <f>IF(M55=0, "", NISTmap!K62)</f>
        <v/>
      </c>
      <c r="M55" s="662">
        <f>NISTmap!O62</f>
        <v>0</v>
      </c>
      <c r="N55" s="661">
        <f ca="1">IF(O55=0, "", NISTmap!Q62)</f>
        <v>0</v>
      </c>
      <c r="O55" s="663">
        <f>NISTmap!R62</f>
        <v>3</v>
      </c>
      <c r="P55" s="661">
        <f ca="1">IF(Q55=0, "", NISTmap!T62)</f>
        <v>0</v>
      </c>
      <c r="Q55" s="664">
        <f>NISTmap!U62</f>
        <v>4</v>
      </c>
      <c r="R55" s="638"/>
      <c r="S55" s="26"/>
    </row>
    <row r="56" spans="1:19" ht="30" customHeight="1" x14ac:dyDescent="0.25">
      <c r="A56" s="3"/>
      <c r="B56" s="633"/>
      <c r="C56" s="654"/>
      <c r="D56" s="1283"/>
      <c r="E56" s="690"/>
      <c r="F56" s="676" t="s">
        <v>2026</v>
      </c>
      <c r="G56" s="1281"/>
      <c r="H56" s="677" t="s">
        <v>1870</v>
      </c>
      <c r="I56" s="678" t="s">
        <v>2098</v>
      </c>
      <c r="J56" s="659">
        <f ca="1">IF(K56=0, "", NISTmap!K63)</f>
        <v>0</v>
      </c>
      <c r="K56" s="660">
        <f>NISTmap!L63</f>
        <v>4</v>
      </c>
      <c r="L56" s="661" t="str">
        <f>IF(M56=0, "", NISTmap!K63)</f>
        <v/>
      </c>
      <c r="M56" s="662">
        <f>NISTmap!O63</f>
        <v>0</v>
      </c>
      <c r="N56" s="661">
        <f ca="1">IF(O56=0, "", NISTmap!Q63)</f>
        <v>0</v>
      </c>
      <c r="O56" s="663">
        <f>NISTmap!R63</f>
        <v>2</v>
      </c>
      <c r="P56" s="661">
        <f ca="1">IF(Q56=0, "", NISTmap!T63)</f>
        <v>0</v>
      </c>
      <c r="Q56" s="664">
        <f>NISTmap!U63</f>
        <v>2</v>
      </c>
      <c r="R56" s="638"/>
      <c r="S56" s="26"/>
    </row>
    <row r="57" spans="1:19" ht="30" customHeight="1" x14ac:dyDescent="0.25">
      <c r="A57" s="3"/>
      <c r="B57" s="633"/>
      <c r="C57" s="654"/>
      <c r="D57" s="1283"/>
      <c r="E57" s="690"/>
      <c r="F57" s="676" t="s">
        <v>2026</v>
      </c>
      <c r="G57" s="1281"/>
      <c r="H57" s="677" t="s">
        <v>1867</v>
      </c>
      <c r="I57" s="678" t="s">
        <v>2099</v>
      </c>
      <c r="J57" s="659">
        <f ca="1">IF(K57=0, "", NISTmap!K64)</f>
        <v>0</v>
      </c>
      <c r="K57" s="660">
        <f>NISTmap!L64</f>
        <v>7</v>
      </c>
      <c r="L57" s="661">
        <f ca="1">IF(M57=0, "", NISTmap!K64)</f>
        <v>0</v>
      </c>
      <c r="M57" s="662">
        <f>NISTmap!O64</f>
        <v>1</v>
      </c>
      <c r="N57" s="661">
        <f ca="1">IF(O57=0, "", NISTmap!Q64)</f>
        <v>0</v>
      </c>
      <c r="O57" s="663">
        <f>NISTmap!R64</f>
        <v>2</v>
      </c>
      <c r="P57" s="661">
        <f ca="1">IF(Q57=0, "", NISTmap!T64)</f>
        <v>0</v>
      </c>
      <c r="Q57" s="664">
        <f>NISTmap!U64</f>
        <v>4</v>
      </c>
      <c r="R57" s="638"/>
      <c r="S57" s="26"/>
    </row>
    <row r="58" spans="1:19" ht="45" customHeight="1" x14ac:dyDescent="0.25">
      <c r="A58" s="3"/>
      <c r="B58" s="633"/>
      <c r="C58" s="654"/>
      <c r="D58" s="1283"/>
      <c r="E58" s="665" t="s">
        <v>2100</v>
      </c>
      <c r="F58" s="666" t="s">
        <v>2101</v>
      </c>
      <c r="G58" s="1280" t="s">
        <v>2102</v>
      </c>
      <c r="H58" s="667" t="s">
        <v>1883</v>
      </c>
      <c r="I58" s="668" t="s">
        <v>2103</v>
      </c>
      <c r="J58" s="669">
        <f ca="1">IF(K58=0, "", NISTmap!K65)</f>
        <v>0</v>
      </c>
      <c r="K58" s="670">
        <f>NISTmap!L65</f>
        <v>5</v>
      </c>
      <c r="L58" s="671">
        <f ca="1">IF(M58=0, "", NISTmap!K65)</f>
        <v>0</v>
      </c>
      <c r="M58" s="672">
        <f>NISTmap!O65</f>
        <v>1</v>
      </c>
      <c r="N58" s="671">
        <f ca="1">IF(O58=0, "", NISTmap!Q65)</f>
        <v>0</v>
      </c>
      <c r="O58" s="673">
        <f>NISTmap!R65</f>
        <v>1</v>
      </c>
      <c r="P58" s="671">
        <f ca="1">IF(Q58=0, "", NISTmap!T65)</f>
        <v>0</v>
      </c>
      <c r="Q58" s="674">
        <f>NISTmap!U65</f>
        <v>3</v>
      </c>
      <c r="R58" s="638"/>
      <c r="S58" s="26"/>
    </row>
    <row r="59" spans="1:19" ht="30" customHeight="1" x14ac:dyDescent="0.25">
      <c r="A59" s="3"/>
      <c r="B59" s="633"/>
      <c r="C59" s="654"/>
      <c r="D59" s="1283"/>
      <c r="E59" s="675"/>
      <c r="F59" s="676" t="s">
        <v>2026</v>
      </c>
      <c r="G59" s="1281"/>
      <c r="H59" s="677" t="s">
        <v>1885</v>
      </c>
      <c r="I59" s="678" t="s">
        <v>2104</v>
      </c>
      <c r="J59" s="659">
        <f ca="1">IF(K59=0, "", NISTmap!K66)</f>
        <v>0</v>
      </c>
      <c r="K59" s="660">
        <f>NISTmap!L66</f>
        <v>1</v>
      </c>
      <c r="L59" s="661" t="str">
        <f>IF(M59=0, "", NISTmap!K66)</f>
        <v/>
      </c>
      <c r="M59" s="662">
        <f>NISTmap!O66</f>
        <v>0</v>
      </c>
      <c r="N59" s="661">
        <f ca="1">IF(O59=0, "", NISTmap!Q66)</f>
        <v>0</v>
      </c>
      <c r="O59" s="663">
        <f>NISTmap!R66</f>
        <v>1</v>
      </c>
      <c r="P59" s="661" t="str">
        <f>IF(Q59=0, "", NISTmap!T66)</f>
        <v/>
      </c>
      <c r="Q59" s="664">
        <f>NISTmap!U66</f>
        <v>0</v>
      </c>
      <c r="R59" s="638"/>
      <c r="S59" s="26"/>
    </row>
    <row r="60" spans="1:19" ht="30" customHeight="1" x14ac:dyDescent="0.25">
      <c r="A60" s="3"/>
      <c r="B60" s="633"/>
      <c r="C60" s="654"/>
      <c r="D60" s="1283"/>
      <c r="E60" s="675"/>
      <c r="F60" s="676" t="s">
        <v>2026</v>
      </c>
      <c r="G60" s="1281"/>
      <c r="H60" s="677" t="s">
        <v>1872</v>
      </c>
      <c r="I60" s="678" t="s">
        <v>2105</v>
      </c>
      <c r="J60" s="659">
        <f ca="1">IF(K60=0, "", NISTmap!K67)</f>
        <v>0</v>
      </c>
      <c r="K60" s="660">
        <f>NISTmap!L67</f>
        <v>10</v>
      </c>
      <c r="L60" s="661">
        <f ca="1">IF(M60=0, "", NISTmap!K67)</f>
        <v>0</v>
      </c>
      <c r="M60" s="662">
        <f>NISTmap!O67</f>
        <v>2</v>
      </c>
      <c r="N60" s="661">
        <f ca="1">IF(O60=0, "", NISTmap!Q67)</f>
        <v>0</v>
      </c>
      <c r="O60" s="663">
        <f>NISTmap!R67</f>
        <v>4</v>
      </c>
      <c r="P60" s="661">
        <f ca="1">IF(Q60=0, "", NISTmap!T67)</f>
        <v>0</v>
      </c>
      <c r="Q60" s="664">
        <f>NISTmap!U67</f>
        <v>4</v>
      </c>
      <c r="R60" s="638"/>
      <c r="S60" s="26"/>
    </row>
    <row r="61" spans="1:19" ht="30" customHeight="1" x14ac:dyDescent="0.25">
      <c r="A61" s="3"/>
      <c r="B61" s="633"/>
      <c r="C61" s="654"/>
      <c r="D61" s="1283"/>
      <c r="E61" s="675"/>
      <c r="F61" s="676" t="s">
        <v>2026</v>
      </c>
      <c r="G61" s="1281"/>
      <c r="H61" s="677" t="s">
        <v>1928</v>
      </c>
      <c r="I61" s="678" t="s">
        <v>2106</v>
      </c>
      <c r="J61" s="659">
        <f ca="1">IF(K61=0, "", NISTmap!K68)</f>
        <v>0</v>
      </c>
      <c r="K61" s="660">
        <f>NISTmap!L68</f>
        <v>5</v>
      </c>
      <c r="L61" s="661">
        <f ca="1">IF(M61=0, "", NISTmap!K68)</f>
        <v>0</v>
      </c>
      <c r="M61" s="662">
        <f>NISTmap!O68</f>
        <v>1</v>
      </c>
      <c r="N61" s="661">
        <f ca="1">IF(O61=0, "", NISTmap!Q68)</f>
        <v>0</v>
      </c>
      <c r="O61" s="663">
        <f>NISTmap!R68</f>
        <v>4</v>
      </c>
      <c r="P61" s="661" t="str">
        <f>IF(Q61=0, "", NISTmap!T68)</f>
        <v/>
      </c>
      <c r="Q61" s="664">
        <f>NISTmap!U68</f>
        <v>0</v>
      </c>
      <c r="R61" s="638"/>
      <c r="S61" s="26"/>
    </row>
    <row r="62" spans="1:19" ht="30" customHeight="1" x14ac:dyDescent="0.25">
      <c r="A62" s="3"/>
      <c r="B62" s="633"/>
      <c r="C62" s="654"/>
      <c r="D62" s="1283"/>
      <c r="E62" s="675"/>
      <c r="F62" s="676" t="s">
        <v>2026</v>
      </c>
      <c r="G62" s="1281"/>
      <c r="H62" s="677" t="s">
        <v>1886</v>
      </c>
      <c r="I62" s="678" t="s">
        <v>2107</v>
      </c>
      <c r="J62" s="659">
        <f ca="1">IF(K62=0, "", NISTmap!K69)</f>
        <v>0</v>
      </c>
      <c r="K62" s="660">
        <f>NISTmap!L69</f>
        <v>1</v>
      </c>
      <c r="L62" s="661" t="str">
        <f>IF(M62=0, "", NISTmap!K69)</f>
        <v/>
      </c>
      <c r="M62" s="662">
        <f>NISTmap!O69</f>
        <v>0</v>
      </c>
      <c r="N62" s="661" t="str">
        <f>IF(O62=0, "", NISTmap!Q69)</f>
        <v/>
      </c>
      <c r="O62" s="663">
        <f>NISTmap!R69</f>
        <v>0</v>
      </c>
      <c r="P62" s="661">
        <f ca="1">IF(Q62=0, "", NISTmap!T69)</f>
        <v>0</v>
      </c>
      <c r="Q62" s="664">
        <f>NISTmap!U69</f>
        <v>1</v>
      </c>
      <c r="R62" s="638"/>
      <c r="S62" s="26"/>
    </row>
    <row r="63" spans="1:19" ht="30" customHeight="1" x14ac:dyDescent="0.25">
      <c r="A63" s="3"/>
      <c r="B63" s="633"/>
      <c r="C63" s="654"/>
      <c r="D63" s="1283"/>
      <c r="E63" s="675"/>
      <c r="F63" s="676" t="s">
        <v>2026</v>
      </c>
      <c r="G63" s="1281"/>
      <c r="H63" s="677" t="s">
        <v>1881</v>
      </c>
      <c r="I63" s="678" t="s">
        <v>2108</v>
      </c>
      <c r="J63" s="659">
        <f ca="1">IF(K63=0, "", NISTmap!K70)</f>
        <v>0</v>
      </c>
      <c r="K63" s="660">
        <f>NISTmap!L70</f>
        <v>3</v>
      </c>
      <c r="L63" s="661" t="str">
        <f>IF(M63=0, "", NISTmap!K70)</f>
        <v/>
      </c>
      <c r="M63" s="662">
        <f>NISTmap!O70</f>
        <v>0</v>
      </c>
      <c r="N63" s="661">
        <f ca="1">IF(O63=0, "", NISTmap!Q70)</f>
        <v>0</v>
      </c>
      <c r="O63" s="663">
        <f>NISTmap!R70</f>
        <v>1</v>
      </c>
      <c r="P63" s="661">
        <f ca="1">IF(Q63=0, "", NISTmap!T70)</f>
        <v>0</v>
      </c>
      <c r="Q63" s="664">
        <f>NISTmap!U70</f>
        <v>2</v>
      </c>
      <c r="R63" s="638"/>
      <c r="S63" s="26"/>
    </row>
    <row r="64" spans="1:19" ht="30" customHeight="1" x14ac:dyDescent="0.25">
      <c r="A64" s="3"/>
      <c r="B64" s="633"/>
      <c r="C64" s="654"/>
      <c r="D64" s="1283"/>
      <c r="E64" s="675"/>
      <c r="F64" s="676" t="s">
        <v>2026</v>
      </c>
      <c r="G64" s="1281"/>
      <c r="H64" s="677" t="s">
        <v>2109</v>
      </c>
      <c r="I64" s="678" t="s">
        <v>2110</v>
      </c>
      <c r="J64" s="659" t="str">
        <f>IF(K64=0, "", NISTmap!K71)</f>
        <v/>
      </c>
      <c r="K64" s="660">
        <f>NISTmap!L71</f>
        <v>0</v>
      </c>
      <c r="L64" s="661" t="str">
        <f>IF(M64=0, "", NISTmap!K71)</f>
        <v/>
      </c>
      <c r="M64" s="662">
        <f>NISTmap!O71</f>
        <v>0</v>
      </c>
      <c r="N64" s="661" t="str">
        <f>IF(O64=0, "", NISTmap!Q71)</f>
        <v/>
      </c>
      <c r="O64" s="663">
        <f>NISTmap!R71</f>
        <v>0</v>
      </c>
      <c r="P64" s="661" t="str">
        <f>IF(Q64=0, "", NISTmap!T71)</f>
        <v/>
      </c>
      <c r="Q64" s="664">
        <f>NISTmap!U71</f>
        <v>0</v>
      </c>
      <c r="R64" s="638"/>
      <c r="S64" s="26"/>
    </row>
    <row r="65" spans="1:19" ht="30" customHeight="1" x14ac:dyDescent="0.25">
      <c r="A65" s="3"/>
      <c r="B65" s="633"/>
      <c r="C65" s="654"/>
      <c r="D65" s="1283"/>
      <c r="E65" s="675"/>
      <c r="F65" s="676" t="s">
        <v>2026</v>
      </c>
      <c r="G65" s="1281"/>
      <c r="H65" s="677" t="s">
        <v>1859</v>
      </c>
      <c r="I65" s="678" t="s">
        <v>2111</v>
      </c>
      <c r="J65" s="659">
        <f ca="1">IF(K65=0, "", NISTmap!K72)</f>
        <v>0</v>
      </c>
      <c r="K65" s="660">
        <f>NISTmap!L72</f>
        <v>13</v>
      </c>
      <c r="L65" s="661">
        <f ca="1">IF(M65=0, "", NISTmap!K72)</f>
        <v>0</v>
      </c>
      <c r="M65" s="662">
        <f>NISTmap!O72</f>
        <v>1</v>
      </c>
      <c r="N65" s="661">
        <f ca="1">IF(O65=0, "", NISTmap!Q72)</f>
        <v>0</v>
      </c>
      <c r="O65" s="663">
        <f>NISTmap!R72</f>
        <v>1</v>
      </c>
      <c r="P65" s="661">
        <f ca="1">IF(Q65=0, "", NISTmap!T72)</f>
        <v>0</v>
      </c>
      <c r="Q65" s="664">
        <f>NISTmap!U72</f>
        <v>11</v>
      </c>
      <c r="R65" s="638"/>
      <c r="S65" s="26"/>
    </row>
    <row r="66" spans="1:19" ht="45" customHeight="1" x14ac:dyDescent="0.25">
      <c r="A66" s="3"/>
      <c r="B66" s="633"/>
      <c r="C66" s="654"/>
      <c r="D66" s="1283"/>
      <c r="E66" s="675"/>
      <c r="F66" s="676" t="s">
        <v>2026</v>
      </c>
      <c r="G66" s="1281"/>
      <c r="H66" s="677" t="s">
        <v>1897</v>
      </c>
      <c r="I66" s="678" t="s">
        <v>2112</v>
      </c>
      <c r="J66" s="659">
        <f ca="1">IF(K66=0, "", NISTmap!K73)</f>
        <v>0</v>
      </c>
      <c r="K66" s="660">
        <f>NISTmap!L73</f>
        <v>37</v>
      </c>
      <c r="L66" s="661">
        <f ca="1">IF(M66=0, "", NISTmap!K73)</f>
        <v>0</v>
      </c>
      <c r="M66" s="662">
        <f>NISTmap!O73</f>
        <v>8</v>
      </c>
      <c r="N66" s="661">
        <f ca="1">IF(O66=0, "", NISTmap!Q73)</f>
        <v>0</v>
      </c>
      <c r="O66" s="663">
        <f>NISTmap!R73</f>
        <v>15</v>
      </c>
      <c r="P66" s="661">
        <f ca="1">IF(Q66=0, "", NISTmap!T73)</f>
        <v>0</v>
      </c>
      <c r="Q66" s="664">
        <f>NISTmap!U73</f>
        <v>14</v>
      </c>
      <c r="R66" s="638"/>
      <c r="S66" s="26"/>
    </row>
    <row r="67" spans="1:19" ht="30" customHeight="1" x14ac:dyDescent="0.25">
      <c r="A67" s="3"/>
      <c r="B67" s="633"/>
      <c r="C67" s="654"/>
      <c r="D67" s="1283"/>
      <c r="E67" s="679"/>
      <c r="F67" s="680" t="s">
        <v>2026</v>
      </c>
      <c r="G67" s="1282"/>
      <c r="H67" s="681" t="s">
        <v>1922</v>
      </c>
      <c r="I67" s="682" t="s">
        <v>2113</v>
      </c>
      <c r="J67" s="683">
        <f ca="1">IF(K67=0, "", NISTmap!K74)</f>
        <v>0</v>
      </c>
      <c r="K67" s="684">
        <f>NISTmap!L74</f>
        <v>6</v>
      </c>
      <c r="L67" s="685" t="str">
        <f>IF(M67=0, "", NISTmap!K74)</f>
        <v/>
      </c>
      <c r="M67" s="686">
        <f>NISTmap!O74</f>
        <v>0</v>
      </c>
      <c r="N67" s="685">
        <f ca="1">IF(O67=0, "", NISTmap!Q74)</f>
        <v>0</v>
      </c>
      <c r="O67" s="687">
        <f>NISTmap!R74</f>
        <v>2</v>
      </c>
      <c r="P67" s="685">
        <f ca="1">IF(Q67=0, "", NISTmap!T74)</f>
        <v>0</v>
      </c>
      <c r="Q67" s="688">
        <f>NISTmap!U74</f>
        <v>4</v>
      </c>
      <c r="R67" s="638"/>
      <c r="S67" s="26"/>
    </row>
    <row r="68" spans="1:19" ht="30" customHeight="1" x14ac:dyDescent="0.25">
      <c r="A68" s="3"/>
      <c r="B68" s="633"/>
      <c r="C68" s="654"/>
      <c r="D68" s="1283"/>
      <c r="E68" s="690"/>
      <c r="F68" s="676" t="s">
        <v>2026</v>
      </c>
      <c r="G68" s="1281"/>
      <c r="H68" s="677" t="s">
        <v>1946</v>
      </c>
      <c r="I68" s="678" t="s">
        <v>2114</v>
      </c>
      <c r="J68" s="659">
        <f ca="1">IF(K68=0, "", NISTmap!K75)</f>
        <v>0</v>
      </c>
      <c r="K68" s="660">
        <f>NISTmap!L75</f>
        <v>8</v>
      </c>
      <c r="L68" s="661">
        <f ca="1">IF(M68=0, "", NISTmap!K75)</f>
        <v>0</v>
      </c>
      <c r="M68" s="662">
        <f>NISTmap!O75</f>
        <v>2</v>
      </c>
      <c r="N68" s="661">
        <f ca="1">IF(O68=0, "", NISTmap!Q75)</f>
        <v>0</v>
      </c>
      <c r="O68" s="663">
        <f>NISTmap!R75</f>
        <v>3</v>
      </c>
      <c r="P68" s="661">
        <f ca="1">IF(Q68=0, "", NISTmap!T75)</f>
        <v>0</v>
      </c>
      <c r="Q68" s="664">
        <f>NISTmap!U75</f>
        <v>3</v>
      </c>
      <c r="R68" s="638"/>
      <c r="S68" s="26"/>
    </row>
    <row r="69" spans="1:19" ht="30" customHeight="1" x14ac:dyDescent="0.25">
      <c r="A69" s="3"/>
      <c r="B69" s="633"/>
      <c r="C69" s="654"/>
      <c r="D69" s="1283"/>
      <c r="E69" s="690"/>
      <c r="F69" s="676" t="s">
        <v>2026</v>
      </c>
      <c r="G69" s="1281"/>
      <c r="H69" s="677" t="s">
        <v>1942</v>
      </c>
      <c r="I69" s="678" t="s">
        <v>2115</v>
      </c>
      <c r="J69" s="659">
        <f ca="1">IF(K69=0, "", NISTmap!K76)</f>
        <v>0</v>
      </c>
      <c r="K69" s="660">
        <f>NISTmap!L76</f>
        <v>4</v>
      </c>
      <c r="L69" s="661" t="str">
        <f>IF(M69=0, "", NISTmap!K76)</f>
        <v/>
      </c>
      <c r="M69" s="662">
        <f>NISTmap!O76</f>
        <v>0</v>
      </c>
      <c r="N69" s="661">
        <f ca="1">IF(O69=0, "", NISTmap!Q76)</f>
        <v>0</v>
      </c>
      <c r="O69" s="663">
        <f>NISTmap!R76</f>
        <v>2</v>
      </c>
      <c r="P69" s="661">
        <f ca="1">IF(Q69=0, "", NISTmap!T76)</f>
        <v>0</v>
      </c>
      <c r="Q69" s="664">
        <f>NISTmap!U76</f>
        <v>2</v>
      </c>
      <c r="R69" s="638"/>
      <c r="S69" s="26"/>
    </row>
    <row r="70" spans="1:19" ht="30" customHeight="1" x14ac:dyDescent="0.25">
      <c r="A70" s="3"/>
      <c r="B70" s="633"/>
      <c r="C70" s="654"/>
      <c r="D70" s="1283"/>
      <c r="E70" s="690" t="s">
        <v>2116</v>
      </c>
      <c r="F70" s="676" t="s">
        <v>2117</v>
      </c>
      <c r="G70" s="1281" t="s">
        <v>2118</v>
      </c>
      <c r="H70" s="677" t="s">
        <v>1884</v>
      </c>
      <c r="I70" s="678" t="s">
        <v>2119</v>
      </c>
      <c r="J70" s="659">
        <f ca="1">IF(K70=0, "", NISTmap!K77)</f>
        <v>0</v>
      </c>
      <c r="K70" s="660">
        <f>NISTmap!L77</f>
        <v>3</v>
      </c>
      <c r="L70" s="661">
        <f ca="1">IF(M70=0, "", NISTmap!K77)</f>
        <v>0</v>
      </c>
      <c r="M70" s="662">
        <f>NISTmap!O77</f>
        <v>1</v>
      </c>
      <c r="N70" s="661">
        <f ca="1">IF(O70=0, "", NISTmap!Q77)</f>
        <v>0</v>
      </c>
      <c r="O70" s="663">
        <f>NISTmap!R77</f>
        <v>1</v>
      </c>
      <c r="P70" s="661">
        <f ca="1">IF(Q70=0, "", NISTmap!T77)</f>
        <v>0</v>
      </c>
      <c r="Q70" s="664">
        <f>NISTmap!U77</f>
        <v>1</v>
      </c>
      <c r="R70" s="638"/>
      <c r="S70" s="26"/>
    </row>
    <row r="71" spans="1:19" ht="45" customHeight="1" x14ac:dyDescent="0.25">
      <c r="A71" s="3"/>
      <c r="B71" s="633"/>
      <c r="C71" s="654"/>
      <c r="D71" s="1283"/>
      <c r="E71" s="690"/>
      <c r="F71" s="676" t="s">
        <v>2026</v>
      </c>
      <c r="G71" s="1281"/>
      <c r="H71" s="677" t="s">
        <v>1849</v>
      </c>
      <c r="I71" s="678" t="s">
        <v>2120</v>
      </c>
      <c r="J71" s="659">
        <f ca="1">IF(K71=0, "", NISTmap!K78)</f>
        <v>0</v>
      </c>
      <c r="K71" s="660">
        <f>NISTmap!L78</f>
        <v>12</v>
      </c>
      <c r="L71" s="661">
        <f ca="1">IF(M71=0, "", NISTmap!K78)</f>
        <v>0</v>
      </c>
      <c r="M71" s="662">
        <f>NISTmap!O78</f>
        <v>2</v>
      </c>
      <c r="N71" s="661">
        <f ca="1">IF(O71=0, "", NISTmap!Q78)</f>
        <v>0</v>
      </c>
      <c r="O71" s="663">
        <f>NISTmap!R78</f>
        <v>8</v>
      </c>
      <c r="P71" s="661">
        <f ca="1">IF(Q71=0, "", NISTmap!T78)</f>
        <v>0</v>
      </c>
      <c r="Q71" s="664">
        <f>NISTmap!U78</f>
        <v>2</v>
      </c>
      <c r="R71" s="638"/>
      <c r="S71" s="26"/>
    </row>
    <row r="72" spans="1:19" ht="30" customHeight="1" x14ac:dyDescent="0.25">
      <c r="A72" s="3"/>
      <c r="B72" s="633"/>
      <c r="C72" s="654"/>
      <c r="D72" s="1283"/>
      <c r="E72" s="665" t="s">
        <v>2121</v>
      </c>
      <c r="F72" s="666" t="s">
        <v>2122</v>
      </c>
      <c r="G72" s="1280" t="s">
        <v>2123</v>
      </c>
      <c r="H72" s="667" t="s">
        <v>1856</v>
      </c>
      <c r="I72" s="668" t="s">
        <v>2124</v>
      </c>
      <c r="J72" s="669">
        <f ca="1">IF(K72=0, "", NISTmap!K79)</f>
        <v>0</v>
      </c>
      <c r="K72" s="670">
        <f>NISTmap!L79</f>
        <v>11</v>
      </c>
      <c r="L72" s="671">
        <f ca="1">IF(M72=0, "", NISTmap!K79)</f>
        <v>0</v>
      </c>
      <c r="M72" s="672">
        <f>NISTmap!O79</f>
        <v>2</v>
      </c>
      <c r="N72" s="671">
        <f ca="1">IF(O72=0, "", NISTmap!Q79)</f>
        <v>0</v>
      </c>
      <c r="O72" s="673">
        <f>NISTmap!R79</f>
        <v>6</v>
      </c>
      <c r="P72" s="671">
        <f ca="1">IF(Q72=0, "", NISTmap!T79)</f>
        <v>0</v>
      </c>
      <c r="Q72" s="674">
        <f>NISTmap!U79</f>
        <v>3</v>
      </c>
      <c r="R72" s="638"/>
      <c r="S72" s="26"/>
    </row>
    <row r="73" spans="1:19" ht="30" customHeight="1" x14ac:dyDescent="0.25">
      <c r="A73" s="3"/>
      <c r="B73" s="633"/>
      <c r="C73" s="654"/>
      <c r="D73" s="1283"/>
      <c r="E73" s="675"/>
      <c r="F73" s="676" t="s">
        <v>2026</v>
      </c>
      <c r="G73" s="1281"/>
      <c r="H73" s="677" t="s">
        <v>1847</v>
      </c>
      <c r="I73" s="678" t="s">
        <v>2125</v>
      </c>
      <c r="J73" s="659">
        <f ca="1">IF(K73=0, "", NISTmap!K80)</f>
        <v>0</v>
      </c>
      <c r="K73" s="660">
        <f>NISTmap!L80</f>
        <v>4</v>
      </c>
      <c r="L73" s="661">
        <f ca="1">IF(M73=0, "", NISTmap!K80)</f>
        <v>0</v>
      </c>
      <c r="M73" s="662">
        <f>NISTmap!O80</f>
        <v>2</v>
      </c>
      <c r="N73" s="661">
        <f ca="1">IF(O73=0, "", NISTmap!Q80)</f>
        <v>0</v>
      </c>
      <c r="O73" s="663">
        <f>NISTmap!R80</f>
        <v>2</v>
      </c>
      <c r="P73" s="661" t="str">
        <f>IF(Q73=0, "", NISTmap!T80)</f>
        <v/>
      </c>
      <c r="Q73" s="664">
        <f>NISTmap!U80</f>
        <v>0</v>
      </c>
      <c r="R73" s="638"/>
      <c r="S73" s="26"/>
    </row>
    <row r="74" spans="1:19" ht="30" customHeight="1" x14ac:dyDescent="0.25">
      <c r="A74" s="3"/>
      <c r="B74" s="633"/>
      <c r="C74" s="654"/>
      <c r="D74" s="1283"/>
      <c r="E74" s="675"/>
      <c r="F74" s="676" t="s">
        <v>2026</v>
      </c>
      <c r="G74" s="1281"/>
      <c r="H74" s="677" t="s">
        <v>1848</v>
      </c>
      <c r="I74" s="678" t="s">
        <v>2126</v>
      </c>
      <c r="J74" s="659">
        <f ca="1">IF(K74=0, "", NISTmap!K81)</f>
        <v>0</v>
      </c>
      <c r="K74" s="660">
        <f>NISTmap!L81</f>
        <v>16</v>
      </c>
      <c r="L74" s="661">
        <f ca="1">IF(M74=0, "", NISTmap!K81)</f>
        <v>0</v>
      </c>
      <c r="M74" s="662">
        <f>NISTmap!O81</f>
        <v>2</v>
      </c>
      <c r="N74" s="661">
        <f ca="1">IF(O74=0, "", NISTmap!Q81)</f>
        <v>0</v>
      </c>
      <c r="O74" s="663">
        <f>NISTmap!R81</f>
        <v>9</v>
      </c>
      <c r="P74" s="661">
        <f ca="1">IF(Q74=0, "", NISTmap!T81)</f>
        <v>0</v>
      </c>
      <c r="Q74" s="664">
        <f>NISTmap!U81</f>
        <v>5</v>
      </c>
      <c r="R74" s="638"/>
      <c r="S74" s="26"/>
    </row>
    <row r="75" spans="1:19" ht="30" customHeight="1" x14ac:dyDescent="0.25">
      <c r="A75" s="3"/>
      <c r="B75" s="633"/>
      <c r="C75" s="654"/>
      <c r="D75" s="1283"/>
      <c r="E75" s="675"/>
      <c r="F75" s="676" t="s">
        <v>2026</v>
      </c>
      <c r="G75" s="1281"/>
      <c r="H75" s="677" t="s">
        <v>1861</v>
      </c>
      <c r="I75" s="678" t="s">
        <v>2127</v>
      </c>
      <c r="J75" s="659">
        <f ca="1">IF(K75=0, "", NISTmap!K82)</f>
        <v>0</v>
      </c>
      <c r="K75" s="660">
        <f>NISTmap!L82</f>
        <v>13</v>
      </c>
      <c r="L75" s="661">
        <f ca="1">IF(M75=0, "", NISTmap!K82)</f>
        <v>0</v>
      </c>
      <c r="M75" s="662">
        <f>NISTmap!O82</f>
        <v>1</v>
      </c>
      <c r="N75" s="661">
        <f ca="1">IF(O75=0, "", NISTmap!Q82)</f>
        <v>0</v>
      </c>
      <c r="O75" s="663">
        <f>NISTmap!R82</f>
        <v>6</v>
      </c>
      <c r="P75" s="661">
        <f ca="1">IF(Q75=0, "", NISTmap!T82)</f>
        <v>0</v>
      </c>
      <c r="Q75" s="664">
        <f>NISTmap!U82</f>
        <v>6</v>
      </c>
      <c r="R75" s="638"/>
      <c r="S75" s="26"/>
    </row>
    <row r="76" spans="1:19" ht="45" customHeight="1" x14ac:dyDescent="0.25">
      <c r="A76" s="3"/>
      <c r="B76" s="633"/>
      <c r="C76" s="654"/>
      <c r="D76" s="1283"/>
      <c r="E76" s="679"/>
      <c r="F76" s="680" t="s">
        <v>2026</v>
      </c>
      <c r="G76" s="1282"/>
      <c r="H76" s="681" t="s">
        <v>1864</v>
      </c>
      <c r="I76" s="682" t="s">
        <v>2128</v>
      </c>
      <c r="J76" s="683">
        <f ca="1">IF(K76=0, "", NISTmap!K83)</f>
        <v>0</v>
      </c>
      <c r="K76" s="684">
        <f>NISTmap!L83</f>
        <v>4</v>
      </c>
      <c r="L76" s="685">
        <f ca="1">IF(M76=0, "", NISTmap!K83)</f>
        <v>0</v>
      </c>
      <c r="M76" s="686">
        <f>NISTmap!O83</f>
        <v>1</v>
      </c>
      <c r="N76" s="685">
        <f ca="1">IF(O76=0, "", NISTmap!Q83)</f>
        <v>0</v>
      </c>
      <c r="O76" s="687">
        <f>NISTmap!R83</f>
        <v>2</v>
      </c>
      <c r="P76" s="685">
        <f ca="1">IF(Q76=0, "", NISTmap!T83)</f>
        <v>0</v>
      </c>
      <c r="Q76" s="688">
        <f>NISTmap!U83</f>
        <v>1</v>
      </c>
      <c r="R76" s="638"/>
      <c r="S76" s="26"/>
    </row>
    <row r="77" spans="1:19" ht="30" customHeight="1" x14ac:dyDescent="0.25">
      <c r="A77" s="3"/>
      <c r="B77" s="633"/>
      <c r="C77" s="654"/>
      <c r="D77" s="1288" t="s">
        <v>1836</v>
      </c>
      <c r="E77" s="655" t="s">
        <v>2129</v>
      </c>
      <c r="F77" s="656" t="s">
        <v>2130</v>
      </c>
      <c r="G77" s="1279" t="s">
        <v>2131</v>
      </c>
      <c r="H77" s="657" t="s">
        <v>1933</v>
      </c>
      <c r="I77" s="658" t="s">
        <v>2132</v>
      </c>
      <c r="J77" s="669">
        <f ca="1">IF(K77=0, "", NISTmap!K84)</f>
        <v>0</v>
      </c>
      <c r="K77" s="670">
        <f>NISTmap!L84</f>
        <v>2</v>
      </c>
      <c r="L77" s="671">
        <f ca="1">IF(M77=0, "", NISTmap!K84)</f>
        <v>0</v>
      </c>
      <c r="M77" s="672">
        <f>NISTmap!O84</f>
        <v>1</v>
      </c>
      <c r="N77" s="671">
        <f ca="1">IF(O77=0, "", NISTmap!Q84)</f>
        <v>0</v>
      </c>
      <c r="O77" s="673">
        <f>NISTmap!R84</f>
        <v>1</v>
      </c>
      <c r="P77" s="671" t="str">
        <f>IF(Q77=0, "", NISTmap!T84)</f>
        <v/>
      </c>
      <c r="Q77" s="674">
        <f>NISTmap!U84</f>
        <v>0</v>
      </c>
      <c r="R77" s="638"/>
      <c r="S77" s="26"/>
    </row>
    <row r="78" spans="1:19" ht="30" customHeight="1" x14ac:dyDescent="0.25">
      <c r="A78" s="3"/>
      <c r="B78" s="633"/>
      <c r="C78" s="654"/>
      <c r="D78" s="1289"/>
      <c r="E78" s="655"/>
      <c r="F78" s="656" t="s">
        <v>2026</v>
      </c>
      <c r="G78" s="1279"/>
      <c r="H78" s="657" t="s">
        <v>1910</v>
      </c>
      <c r="I78" s="658" t="s">
        <v>2133</v>
      </c>
      <c r="J78" s="659">
        <f ca="1">IF(K78=0, "", NISTmap!K85)</f>
        <v>0</v>
      </c>
      <c r="K78" s="660">
        <f>NISTmap!L85</f>
        <v>7</v>
      </c>
      <c r="L78" s="661">
        <f ca="1">IF(M78=0, "", NISTmap!K85)</f>
        <v>0</v>
      </c>
      <c r="M78" s="662">
        <f>NISTmap!O85</f>
        <v>1</v>
      </c>
      <c r="N78" s="661">
        <f ca="1">IF(O78=0, "", NISTmap!Q85)</f>
        <v>0</v>
      </c>
      <c r="O78" s="663">
        <f>NISTmap!R85</f>
        <v>4</v>
      </c>
      <c r="P78" s="661">
        <f ca="1">IF(Q78=0, "", NISTmap!T85)</f>
        <v>0</v>
      </c>
      <c r="Q78" s="664">
        <f>NISTmap!U85</f>
        <v>2</v>
      </c>
      <c r="R78" s="638"/>
      <c r="S78" s="26"/>
    </row>
    <row r="79" spans="1:19" ht="30" customHeight="1" x14ac:dyDescent="0.25">
      <c r="A79" s="3"/>
      <c r="B79" s="633"/>
      <c r="C79" s="654"/>
      <c r="D79" s="1289"/>
      <c r="E79" s="655"/>
      <c r="F79" s="656" t="s">
        <v>2026</v>
      </c>
      <c r="G79" s="1279"/>
      <c r="H79" s="657" t="s">
        <v>1905</v>
      </c>
      <c r="I79" s="658" t="s">
        <v>2134</v>
      </c>
      <c r="J79" s="659">
        <f ca="1">IF(K79=0, "", NISTmap!K86)</f>
        <v>0</v>
      </c>
      <c r="K79" s="660">
        <f>NISTmap!L86</f>
        <v>8</v>
      </c>
      <c r="L79" s="661">
        <f ca="1">IF(M79=0, "", NISTmap!K86)</f>
        <v>0</v>
      </c>
      <c r="M79" s="662">
        <f>NISTmap!O86</f>
        <v>1</v>
      </c>
      <c r="N79" s="661">
        <f ca="1">IF(O79=0, "", NISTmap!Q86)</f>
        <v>0</v>
      </c>
      <c r="O79" s="663">
        <f>NISTmap!R86</f>
        <v>3</v>
      </c>
      <c r="P79" s="661">
        <f ca="1">IF(Q79=0, "", NISTmap!T86)</f>
        <v>0</v>
      </c>
      <c r="Q79" s="664">
        <f>NISTmap!U86</f>
        <v>4</v>
      </c>
      <c r="R79" s="638"/>
      <c r="S79" s="26"/>
    </row>
    <row r="80" spans="1:19" ht="30" customHeight="1" x14ac:dyDescent="0.25">
      <c r="A80" s="3"/>
      <c r="B80" s="633"/>
      <c r="C80" s="654"/>
      <c r="D80" s="1289"/>
      <c r="E80" s="655"/>
      <c r="F80" s="656" t="s">
        <v>2026</v>
      </c>
      <c r="G80" s="1279"/>
      <c r="H80" s="657" t="s">
        <v>1914</v>
      </c>
      <c r="I80" s="658" t="s">
        <v>2135</v>
      </c>
      <c r="J80" s="659">
        <f ca="1">IF(K80=0, "", NISTmap!K87)</f>
        <v>0</v>
      </c>
      <c r="K80" s="660">
        <f>NISTmap!L87</f>
        <v>3</v>
      </c>
      <c r="L80" s="661">
        <f ca="1">IF(M80=0, "", NISTmap!K87)</f>
        <v>0</v>
      </c>
      <c r="M80" s="662">
        <f>NISTmap!O87</f>
        <v>1</v>
      </c>
      <c r="N80" s="661">
        <f ca="1">IF(O80=0, "", NISTmap!Q87)</f>
        <v>0</v>
      </c>
      <c r="O80" s="663">
        <f>NISTmap!R87</f>
        <v>1</v>
      </c>
      <c r="P80" s="661">
        <f ca="1">IF(Q80=0, "", NISTmap!T87)</f>
        <v>0</v>
      </c>
      <c r="Q80" s="664">
        <f>NISTmap!U87</f>
        <v>1</v>
      </c>
      <c r="R80" s="638"/>
      <c r="S80" s="26"/>
    </row>
    <row r="81" spans="1:19" ht="30" customHeight="1" x14ac:dyDescent="0.25">
      <c r="A81" s="3"/>
      <c r="B81" s="633"/>
      <c r="C81" s="654"/>
      <c r="D81" s="1289"/>
      <c r="E81" s="655"/>
      <c r="F81" s="656" t="s">
        <v>2026</v>
      </c>
      <c r="G81" s="1279"/>
      <c r="H81" s="657" t="s">
        <v>1912</v>
      </c>
      <c r="I81" s="658" t="s">
        <v>2136</v>
      </c>
      <c r="J81" s="659">
        <f ca="1">IF(K81=0, "", NISTmap!K88)</f>
        <v>0</v>
      </c>
      <c r="K81" s="660">
        <f>NISTmap!L88</f>
        <v>8</v>
      </c>
      <c r="L81" s="661">
        <f ca="1">IF(M81=0, "", NISTmap!K88)</f>
        <v>0</v>
      </c>
      <c r="M81" s="662">
        <f>NISTmap!O88</f>
        <v>1</v>
      </c>
      <c r="N81" s="661">
        <f ca="1">IF(O81=0, "", NISTmap!Q88)</f>
        <v>0</v>
      </c>
      <c r="O81" s="663">
        <f>NISTmap!R88</f>
        <v>3</v>
      </c>
      <c r="P81" s="661">
        <f ca="1">IF(Q81=0, "", NISTmap!T88)</f>
        <v>0</v>
      </c>
      <c r="Q81" s="664">
        <f>NISTmap!U88</f>
        <v>4</v>
      </c>
      <c r="R81" s="638"/>
      <c r="S81" s="26"/>
    </row>
    <row r="82" spans="1:19" ht="30" customHeight="1" x14ac:dyDescent="0.25">
      <c r="A82" s="3"/>
      <c r="B82" s="633"/>
      <c r="C82" s="654"/>
      <c r="D82" s="1289"/>
      <c r="E82" s="665" t="s">
        <v>2137</v>
      </c>
      <c r="F82" s="666" t="s">
        <v>2138</v>
      </c>
      <c r="G82" s="1280" t="s">
        <v>2139</v>
      </c>
      <c r="H82" s="667" t="s">
        <v>1865</v>
      </c>
      <c r="I82" s="668" t="s">
        <v>2140</v>
      </c>
      <c r="J82" s="669">
        <f ca="1">IF(K82=0, "", NISTmap!K89)</f>
        <v>0</v>
      </c>
      <c r="K82" s="670">
        <f>NISTmap!L89</f>
        <v>9</v>
      </c>
      <c r="L82" s="671">
        <f ca="1">IF(M82=0, "", NISTmap!K89)</f>
        <v>0</v>
      </c>
      <c r="M82" s="672">
        <f>NISTmap!O89</f>
        <v>2</v>
      </c>
      <c r="N82" s="671">
        <f ca="1">IF(O82=0, "", NISTmap!Q89)</f>
        <v>0</v>
      </c>
      <c r="O82" s="673">
        <f>NISTmap!R89</f>
        <v>4</v>
      </c>
      <c r="P82" s="671">
        <f ca="1">IF(Q82=0, "", NISTmap!T89)</f>
        <v>0</v>
      </c>
      <c r="Q82" s="674">
        <f>NISTmap!U89</f>
        <v>3</v>
      </c>
      <c r="R82" s="638"/>
      <c r="S82" s="26"/>
    </row>
    <row r="83" spans="1:19" ht="30" customHeight="1" x14ac:dyDescent="0.25">
      <c r="A83" s="3"/>
      <c r="B83" s="633"/>
      <c r="C83" s="654"/>
      <c r="D83" s="1289"/>
      <c r="E83" s="675"/>
      <c r="F83" s="676" t="s">
        <v>2026</v>
      </c>
      <c r="G83" s="1281"/>
      <c r="H83" s="677" t="s">
        <v>1855</v>
      </c>
      <c r="I83" s="678" t="s">
        <v>2141</v>
      </c>
      <c r="J83" s="659">
        <f ca="1">IF(K83=0, "", NISTmap!K90)</f>
        <v>0</v>
      </c>
      <c r="K83" s="660">
        <f>NISTmap!L90</f>
        <v>10</v>
      </c>
      <c r="L83" s="661">
        <f ca="1">IF(M83=0, "", NISTmap!K90)</f>
        <v>0</v>
      </c>
      <c r="M83" s="662">
        <f>NISTmap!O90</f>
        <v>3</v>
      </c>
      <c r="N83" s="661">
        <f ca="1">IF(O83=0, "", NISTmap!Q90)</f>
        <v>0</v>
      </c>
      <c r="O83" s="663">
        <f>NISTmap!R90</f>
        <v>3</v>
      </c>
      <c r="P83" s="661">
        <f ca="1">IF(Q83=0, "", NISTmap!T90)</f>
        <v>0</v>
      </c>
      <c r="Q83" s="664">
        <f>NISTmap!U90</f>
        <v>4</v>
      </c>
      <c r="R83" s="638"/>
      <c r="S83" s="26"/>
    </row>
    <row r="84" spans="1:19" ht="30" customHeight="1" x14ac:dyDescent="0.25">
      <c r="A84" s="3"/>
      <c r="B84" s="633"/>
      <c r="C84" s="654"/>
      <c r="D84" s="1289"/>
      <c r="E84" s="675"/>
      <c r="F84" s="676" t="s">
        <v>2026</v>
      </c>
      <c r="G84" s="1281"/>
      <c r="H84" s="677" t="s">
        <v>1851</v>
      </c>
      <c r="I84" s="678" t="s">
        <v>2142</v>
      </c>
      <c r="J84" s="659">
        <f ca="1">IF(K84=0, "", NISTmap!K91)</f>
        <v>0</v>
      </c>
      <c r="K84" s="660">
        <f>NISTmap!L91</f>
        <v>13</v>
      </c>
      <c r="L84" s="661">
        <f ca="1">IF(M84=0, "", NISTmap!K91)</f>
        <v>0</v>
      </c>
      <c r="M84" s="662">
        <f>NISTmap!O91</f>
        <v>3</v>
      </c>
      <c r="N84" s="661">
        <f ca="1">IF(O84=0, "", NISTmap!Q91)</f>
        <v>0</v>
      </c>
      <c r="O84" s="663">
        <f>NISTmap!R91</f>
        <v>5</v>
      </c>
      <c r="P84" s="661">
        <f ca="1">IF(Q84=0, "", NISTmap!T91)</f>
        <v>0</v>
      </c>
      <c r="Q84" s="664">
        <f>NISTmap!U91</f>
        <v>5</v>
      </c>
      <c r="R84" s="638"/>
      <c r="S84" s="26"/>
    </row>
    <row r="85" spans="1:19" ht="30" customHeight="1" x14ac:dyDescent="0.25">
      <c r="A85" s="3"/>
      <c r="B85" s="633"/>
      <c r="C85" s="654"/>
      <c r="D85" s="1289"/>
      <c r="E85" s="675"/>
      <c r="F85" s="676" t="s">
        <v>2026</v>
      </c>
      <c r="G85" s="1281"/>
      <c r="H85" s="677" t="s">
        <v>1869</v>
      </c>
      <c r="I85" s="678" t="s">
        <v>2143</v>
      </c>
      <c r="J85" s="659">
        <f ca="1">IF(K85=0, "", NISTmap!K92)</f>
        <v>0</v>
      </c>
      <c r="K85" s="660">
        <f>NISTmap!L92</f>
        <v>9</v>
      </c>
      <c r="L85" s="661">
        <f ca="1">IF(M85=0, "", NISTmap!K92)</f>
        <v>0</v>
      </c>
      <c r="M85" s="662">
        <f>NISTmap!O92</f>
        <v>2</v>
      </c>
      <c r="N85" s="661">
        <f ca="1">IF(O85=0, "", NISTmap!Q92)</f>
        <v>0</v>
      </c>
      <c r="O85" s="663">
        <f>NISTmap!R92</f>
        <v>2</v>
      </c>
      <c r="P85" s="661">
        <f ca="1">IF(Q85=0, "", NISTmap!T92)</f>
        <v>0</v>
      </c>
      <c r="Q85" s="664">
        <f>NISTmap!U92</f>
        <v>5</v>
      </c>
      <c r="R85" s="638"/>
      <c r="S85" s="26"/>
    </row>
    <row r="86" spans="1:19" ht="30" customHeight="1" x14ac:dyDescent="0.25">
      <c r="A86" s="3"/>
      <c r="B86" s="633"/>
      <c r="C86" s="654"/>
      <c r="D86" s="1289"/>
      <c r="E86" s="675"/>
      <c r="F86" s="676" t="s">
        <v>2026</v>
      </c>
      <c r="G86" s="1281"/>
      <c r="H86" s="677" t="s">
        <v>1873</v>
      </c>
      <c r="I86" s="678" t="s">
        <v>2144</v>
      </c>
      <c r="J86" s="659">
        <f ca="1">IF(K86=0, "", NISTmap!K93)</f>
        <v>0</v>
      </c>
      <c r="K86" s="660">
        <f>NISTmap!L93</f>
        <v>8</v>
      </c>
      <c r="L86" s="661">
        <f ca="1">IF(M86=0, "", NISTmap!K93)</f>
        <v>0</v>
      </c>
      <c r="M86" s="662">
        <f>NISTmap!O93</f>
        <v>2</v>
      </c>
      <c r="N86" s="661">
        <f ca="1">IF(O86=0, "", NISTmap!Q93)</f>
        <v>0</v>
      </c>
      <c r="O86" s="663">
        <f>NISTmap!R93</f>
        <v>1</v>
      </c>
      <c r="P86" s="661">
        <f ca="1">IF(Q86=0, "", NISTmap!T93)</f>
        <v>0</v>
      </c>
      <c r="Q86" s="664">
        <f>NISTmap!U93</f>
        <v>5</v>
      </c>
      <c r="R86" s="638"/>
      <c r="S86" s="26"/>
    </row>
    <row r="87" spans="1:19" ht="30" customHeight="1" x14ac:dyDescent="0.25">
      <c r="A87" s="3"/>
      <c r="B87" s="633"/>
      <c r="C87" s="654"/>
      <c r="D87" s="1289"/>
      <c r="E87" s="675"/>
      <c r="F87" s="676" t="s">
        <v>2026</v>
      </c>
      <c r="G87" s="1281"/>
      <c r="H87" s="677" t="s">
        <v>1852</v>
      </c>
      <c r="I87" s="678" t="s">
        <v>2145</v>
      </c>
      <c r="J87" s="659">
        <f ca="1">IF(K87=0, "", NISTmap!K94)</f>
        <v>0</v>
      </c>
      <c r="K87" s="660">
        <f>NISTmap!L94</f>
        <v>12</v>
      </c>
      <c r="L87" s="661">
        <f ca="1">IF(M87=0, "", NISTmap!K94)</f>
        <v>0</v>
      </c>
      <c r="M87" s="662">
        <f>NISTmap!O94</f>
        <v>3</v>
      </c>
      <c r="N87" s="661">
        <f ca="1">IF(O87=0, "", NISTmap!Q94)</f>
        <v>0</v>
      </c>
      <c r="O87" s="663">
        <f>NISTmap!R94</f>
        <v>4</v>
      </c>
      <c r="P87" s="661">
        <f ca="1">IF(Q87=0, "", NISTmap!T94)</f>
        <v>0</v>
      </c>
      <c r="Q87" s="664">
        <f>NISTmap!U94</f>
        <v>5</v>
      </c>
      <c r="R87" s="638"/>
      <c r="S87" s="26"/>
    </row>
    <row r="88" spans="1:19" ht="30" customHeight="1" x14ac:dyDescent="0.25">
      <c r="A88" s="3"/>
      <c r="B88" s="633"/>
      <c r="C88" s="654"/>
      <c r="D88" s="1289"/>
      <c r="E88" s="675"/>
      <c r="F88" s="676" t="s">
        <v>2026</v>
      </c>
      <c r="G88" s="1281"/>
      <c r="H88" s="677" t="s">
        <v>1853</v>
      </c>
      <c r="I88" s="678" t="s">
        <v>2146</v>
      </c>
      <c r="J88" s="659">
        <f ca="1">IF(K88=0, "", NISTmap!K95)</f>
        <v>0</v>
      </c>
      <c r="K88" s="660">
        <f>NISTmap!L95</f>
        <v>13</v>
      </c>
      <c r="L88" s="661">
        <f ca="1">IF(M88=0, "", NISTmap!K95)</f>
        <v>0</v>
      </c>
      <c r="M88" s="662">
        <f>NISTmap!O95</f>
        <v>3</v>
      </c>
      <c r="N88" s="661">
        <f ca="1">IF(O88=0, "", NISTmap!Q95)</f>
        <v>0</v>
      </c>
      <c r="O88" s="663">
        <f>NISTmap!R95</f>
        <v>5</v>
      </c>
      <c r="P88" s="661">
        <f ca="1">IF(Q88=0, "", NISTmap!T95)</f>
        <v>0</v>
      </c>
      <c r="Q88" s="664">
        <f>NISTmap!U95</f>
        <v>5</v>
      </c>
      <c r="R88" s="638"/>
      <c r="S88" s="26"/>
    </row>
    <row r="89" spans="1:19" ht="30" customHeight="1" x14ac:dyDescent="0.25">
      <c r="A89" s="3"/>
      <c r="B89" s="633"/>
      <c r="C89" s="654"/>
      <c r="D89" s="1289"/>
      <c r="E89" s="675"/>
      <c r="F89" s="676" t="s">
        <v>2026</v>
      </c>
      <c r="G89" s="1281"/>
      <c r="H89" s="677" t="s">
        <v>1931</v>
      </c>
      <c r="I89" s="678" t="s">
        <v>2147</v>
      </c>
      <c r="J89" s="659">
        <f ca="1">IF(K89=0, "", NISTmap!K96)</f>
        <v>0</v>
      </c>
      <c r="K89" s="660">
        <f>NISTmap!L96</f>
        <v>4</v>
      </c>
      <c r="L89" s="661">
        <f ca="1">IF(M89=0, "", NISTmap!K96)</f>
        <v>0</v>
      </c>
      <c r="M89" s="662">
        <f>NISTmap!O96</f>
        <v>1</v>
      </c>
      <c r="N89" s="661">
        <f ca="1">IF(O89=0, "", NISTmap!Q96)</f>
        <v>0</v>
      </c>
      <c r="O89" s="663">
        <f>NISTmap!R96</f>
        <v>2</v>
      </c>
      <c r="P89" s="661">
        <f ca="1">IF(Q89=0, "", NISTmap!T96)</f>
        <v>0</v>
      </c>
      <c r="Q89" s="664">
        <f>NISTmap!U96</f>
        <v>1</v>
      </c>
      <c r="R89" s="638"/>
      <c r="S89" s="26"/>
    </row>
    <row r="90" spans="1:19" ht="30" customHeight="1" x14ac:dyDescent="0.25">
      <c r="A90" s="3"/>
      <c r="B90" s="633"/>
      <c r="C90" s="654"/>
      <c r="D90" s="1289"/>
      <c r="E90" s="665" t="s">
        <v>2148</v>
      </c>
      <c r="F90" s="666" t="s">
        <v>2149</v>
      </c>
      <c r="G90" s="1280" t="s">
        <v>2150</v>
      </c>
      <c r="H90" s="667" t="s">
        <v>1906</v>
      </c>
      <c r="I90" s="668" t="s">
        <v>2151</v>
      </c>
      <c r="J90" s="669">
        <f ca="1">IF(K90=0, "", NISTmap!K97)</f>
        <v>0</v>
      </c>
      <c r="K90" s="670">
        <f>NISTmap!L97</f>
        <v>8</v>
      </c>
      <c r="L90" s="671">
        <f ca="1">IF(M90=0, "", NISTmap!K97)</f>
        <v>0</v>
      </c>
      <c r="M90" s="672">
        <f>NISTmap!O97</f>
        <v>3</v>
      </c>
      <c r="N90" s="671">
        <f ca="1">IF(O90=0, "", NISTmap!Q97)</f>
        <v>0</v>
      </c>
      <c r="O90" s="673">
        <f>NISTmap!R97</f>
        <v>3</v>
      </c>
      <c r="P90" s="671">
        <f ca="1">IF(Q90=0, "", NISTmap!T97)</f>
        <v>0</v>
      </c>
      <c r="Q90" s="674">
        <f>NISTmap!U97</f>
        <v>2</v>
      </c>
      <c r="R90" s="638"/>
      <c r="S90" s="26"/>
    </row>
    <row r="91" spans="1:19" ht="30" customHeight="1" x14ac:dyDescent="0.25">
      <c r="A91" s="3"/>
      <c r="B91" s="633"/>
      <c r="C91" s="654"/>
      <c r="D91" s="1289"/>
      <c r="E91" s="675"/>
      <c r="F91" s="676" t="s">
        <v>2026</v>
      </c>
      <c r="G91" s="1281"/>
      <c r="H91" s="677" t="s">
        <v>1908</v>
      </c>
      <c r="I91" s="678" t="s">
        <v>2152</v>
      </c>
      <c r="J91" s="659">
        <f ca="1">IF(K91=0, "", NISTmap!K98)</f>
        <v>0</v>
      </c>
      <c r="K91" s="660">
        <f>NISTmap!L98</f>
        <v>4</v>
      </c>
      <c r="L91" s="661" t="str">
        <f>IF(M91=0, "", NISTmap!K98)</f>
        <v/>
      </c>
      <c r="M91" s="662">
        <f>NISTmap!O98</f>
        <v>0</v>
      </c>
      <c r="N91" s="661">
        <f ca="1">IF(O91=0, "", NISTmap!Q98)</f>
        <v>0</v>
      </c>
      <c r="O91" s="663">
        <f>NISTmap!R98</f>
        <v>3</v>
      </c>
      <c r="P91" s="661">
        <f ca="1">IF(Q91=0, "", NISTmap!T98)</f>
        <v>0</v>
      </c>
      <c r="Q91" s="664">
        <f>NISTmap!U98</f>
        <v>1</v>
      </c>
      <c r="R91" s="638"/>
      <c r="S91" s="26"/>
    </row>
    <row r="92" spans="1:19" ht="30" customHeight="1" x14ac:dyDescent="0.25">
      <c r="A92" s="3"/>
      <c r="B92" s="633"/>
      <c r="C92" s="654"/>
      <c r="D92" s="1289"/>
      <c r="E92" s="675"/>
      <c r="F92" s="676" t="s">
        <v>2026</v>
      </c>
      <c r="G92" s="1281"/>
      <c r="H92" s="677" t="s">
        <v>1916</v>
      </c>
      <c r="I92" s="678" t="s">
        <v>2153</v>
      </c>
      <c r="J92" s="659">
        <f ca="1">IF(K92=0, "", NISTmap!K99)</f>
        <v>0</v>
      </c>
      <c r="K92" s="660">
        <f>NISTmap!L99</f>
        <v>3</v>
      </c>
      <c r="L92" s="661" t="str">
        <f>IF(M92=0, "", NISTmap!K99)</f>
        <v/>
      </c>
      <c r="M92" s="662">
        <f>NISTmap!O99</f>
        <v>0</v>
      </c>
      <c r="N92" s="661">
        <f ca="1">IF(O92=0, "", NISTmap!Q99)</f>
        <v>0</v>
      </c>
      <c r="O92" s="663">
        <f>NISTmap!R99</f>
        <v>2</v>
      </c>
      <c r="P92" s="661">
        <f ca="1">IF(Q92=0, "", NISTmap!T99)</f>
        <v>0</v>
      </c>
      <c r="Q92" s="664">
        <f>NISTmap!U99</f>
        <v>1</v>
      </c>
      <c r="R92" s="638"/>
      <c r="S92" s="26"/>
    </row>
    <row r="93" spans="1:19" ht="30" customHeight="1" x14ac:dyDescent="0.25">
      <c r="A93" s="3"/>
      <c r="B93" s="633"/>
      <c r="C93" s="654"/>
      <c r="D93" s="1289"/>
      <c r="E93" s="675"/>
      <c r="F93" s="676" t="s">
        <v>2026</v>
      </c>
      <c r="G93" s="1281"/>
      <c r="H93" s="677" t="s">
        <v>1907</v>
      </c>
      <c r="I93" s="678" t="s">
        <v>2154</v>
      </c>
      <c r="J93" s="659">
        <f ca="1">IF(K93=0, "", NISTmap!K100)</f>
        <v>0</v>
      </c>
      <c r="K93" s="660">
        <f>NISTmap!L100</f>
        <v>7</v>
      </c>
      <c r="L93" s="661">
        <f ca="1">IF(M93=0, "", NISTmap!K100)</f>
        <v>0</v>
      </c>
      <c r="M93" s="662">
        <f>NISTmap!O100</f>
        <v>2</v>
      </c>
      <c r="N93" s="661">
        <f ca="1">IF(O93=0, "", NISTmap!Q100)</f>
        <v>0</v>
      </c>
      <c r="O93" s="663">
        <f>NISTmap!R100</f>
        <v>2</v>
      </c>
      <c r="P93" s="661">
        <f ca="1">IF(Q93=0, "", NISTmap!T100)</f>
        <v>0</v>
      </c>
      <c r="Q93" s="664">
        <f>NISTmap!U100</f>
        <v>3</v>
      </c>
      <c r="R93" s="638"/>
      <c r="S93" s="26"/>
    </row>
    <row r="94" spans="1:19" ht="30" customHeight="1" x14ac:dyDescent="0.25">
      <c r="A94" s="3"/>
      <c r="B94" s="633"/>
      <c r="C94" s="654"/>
      <c r="D94" s="1290"/>
      <c r="E94" s="675"/>
      <c r="F94" s="676" t="s">
        <v>2026</v>
      </c>
      <c r="G94" s="1281"/>
      <c r="H94" s="677" t="s">
        <v>1911</v>
      </c>
      <c r="I94" s="678" t="s">
        <v>2155</v>
      </c>
      <c r="J94" s="683">
        <f ca="1">IF(K94=0, "", NISTmap!K101)</f>
        <v>0</v>
      </c>
      <c r="K94" s="684">
        <f>NISTmap!L101</f>
        <v>3</v>
      </c>
      <c r="L94" s="685" t="str">
        <f>IF(M94=0, "", NISTmap!K101)</f>
        <v/>
      </c>
      <c r="M94" s="686">
        <f>NISTmap!O101</f>
        <v>0</v>
      </c>
      <c r="N94" s="685">
        <f ca="1">IF(O94=0, "", NISTmap!Q101)</f>
        <v>0</v>
      </c>
      <c r="O94" s="687">
        <f>NISTmap!R101</f>
        <v>2</v>
      </c>
      <c r="P94" s="685">
        <f ca="1">IF(Q94=0, "", NISTmap!T101)</f>
        <v>0</v>
      </c>
      <c r="Q94" s="688">
        <f>NISTmap!U101</f>
        <v>1</v>
      </c>
      <c r="R94" s="638"/>
      <c r="S94" s="26"/>
    </row>
    <row r="95" spans="1:19" ht="30" customHeight="1" x14ac:dyDescent="0.25">
      <c r="A95" s="3"/>
      <c r="B95" s="633"/>
      <c r="C95" s="654"/>
      <c r="D95" s="1291" t="s">
        <v>1837</v>
      </c>
      <c r="E95" s="689" t="s">
        <v>2156</v>
      </c>
      <c r="F95" s="666" t="s">
        <v>2157</v>
      </c>
      <c r="G95" s="666" t="s">
        <v>2158</v>
      </c>
      <c r="H95" s="667" t="s">
        <v>1898</v>
      </c>
      <c r="I95" s="668" t="s">
        <v>2159</v>
      </c>
      <c r="J95" s="659">
        <f ca="1">IF(K95=0, "", NISTmap!K102)</f>
        <v>0</v>
      </c>
      <c r="K95" s="660">
        <f>NISTmap!L102</f>
        <v>14</v>
      </c>
      <c r="L95" s="661">
        <f ca="1">IF(M95=0, "", NISTmap!K102)</f>
        <v>0</v>
      </c>
      <c r="M95" s="662">
        <f>NISTmap!O102</f>
        <v>6</v>
      </c>
      <c r="N95" s="661">
        <f ca="1">IF(O95=0, "", NISTmap!Q102)</f>
        <v>0</v>
      </c>
      <c r="O95" s="663">
        <f>NISTmap!R102</f>
        <v>4</v>
      </c>
      <c r="P95" s="661">
        <f ca="1">IF(Q95=0, "", NISTmap!T102)</f>
        <v>0</v>
      </c>
      <c r="Q95" s="664">
        <f>NISTmap!U102</f>
        <v>4</v>
      </c>
      <c r="R95" s="638"/>
      <c r="S95" s="26"/>
    </row>
    <row r="96" spans="1:19" ht="30" customHeight="1" x14ac:dyDescent="0.25">
      <c r="A96" s="3"/>
      <c r="B96" s="633"/>
      <c r="C96" s="654"/>
      <c r="D96" s="1291"/>
      <c r="E96" s="665" t="s">
        <v>2160</v>
      </c>
      <c r="F96" s="666" t="s">
        <v>2161</v>
      </c>
      <c r="G96" s="1280" t="s">
        <v>2162</v>
      </c>
      <c r="H96" s="667" t="s">
        <v>1899</v>
      </c>
      <c r="I96" s="668" t="s">
        <v>2163</v>
      </c>
      <c r="J96" s="669">
        <f ca="1">IF(K96=0, "", NISTmap!K103)</f>
        <v>0</v>
      </c>
      <c r="K96" s="670">
        <f>NISTmap!L103</f>
        <v>3</v>
      </c>
      <c r="L96" s="671">
        <f ca="1">IF(M96=0, "", NISTmap!K103)</f>
        <v>0</v>
      </c>
      <c r="M96" s="672">
        <f>NISTmap!O103</f>
        <v>2</v>
      </c>
      <c r="N96" s="671">
        <f ca="1">IF(O96=0, "", NISTmap!Q103)</f>
        <v>0</v>
      </c>
      <c r="O96" s="673">
        <f>NISTmap!R103</f>
        <v>1</v>
      </c>
      <c r="P96" s="671" t="str">
        <f>IF(Q96=0, "", NISTmap!T103)</f>
        <v/>
      </c>
      <c r="Q96" s="674">
        <f>NISTmap!U103</f>
        <v>0</v>
      </c>
      <c r="R96" s="638"/>
      <c r="S96" s="26"/>
    </row>
    <row r="97" spans="1:19" ht="30" customHeight="1" x14ac:dyDescent="0.25">
      <c r="A97" s="3"/>
      <c r="B97" s="633"/>
      <c r="C97" s="654"/>
      <c r="D97" s="1291"/>
      <c r="E97" s="675"/>
      <c r="F97" s="676" t="s">
        <v>2026</v>
      </c>
      <c r="G97" s="1281"/>
      <c r="H97" s="677" t="s">
        <v>1902</v>
      </c>
      <c r="I97" s="678" t="s">
        <v>2164</v>
      </c>
      <c r="J97" s="659">
        <f ca="1">IF(K97=0, "", NISTmap!K104)</f>
        <v>0</v>
      </c>
      <c r="K97" s="660">
        <f>NISTmap!L104</f>
        <v>3</v>
      </c>
      <c r="L97" s="661" t="str">
        <f>IF(M97=0, "", NISTmap!K104)</f>
        <v/>
      </c>
      <c r="M97" s="662">
        <f>NISTmap!O104</f>
        <v>0</v>
      </c>
      <c r="N97" s="661">
        <f ca="1">IF(O97=0, "", NISTmap!Q104)</f>
        <v>0</v>
      </c>
      <c r="O97" s="663">
        <f>NISTmap!R104</f>
        <v>3</v>
      </c>
      <c r="P97" s="661" t="str">
        <f>IF(Q97=0, "", NISTmap!T104)</f>
        <v/>
      </c>
      <c r="Q97" s="664">
        <f>NISTmap!U104</f>
        <v>0</v>
      </c>
      <c r="R97" s="638"/>
      <c r="S97" s="26"/>
    </row>
    <row r="98" spans="1:19" ht="30" customHeight="1" x14ac:dyDescent="0.25">
      <c r="A98" s="3"/>
      <c r="B98" s="633"/>
      <c r="C98" s="654"/>
      <c r="D98" s="1291"/>
      <c r="E98" s="675"/>
      <c r="F98" s="676" t="s">
        <v>2026</v>
      </c>
      <c r="G98" s="1281"/>
      <c r="H98" s="677" t="s">
        <v>1903</v>
      </c>
      <c r="I98" s="678" t="s">
        <v>2165</v>
      </c>
      <c r="J98" s="659">
        <f ca="1">IF(K98=0, "", NISTmap!K105)</f>
        <v>0</v>
      </c>
      <c r="K98" s="660">
        <f>NISTmap!L105</f>
        <v>9</v>
      </c>
      <c r="L98" s="661" t="str">
        <f>IF(M98=0, "", NISTmap!K105)</f>
        <v/>
      </c>
      <c r="M98" s="662">
        <f>NISTmap!O105</f>
        <v>0</v>
      </c>
      <c r="N98" s="661">
        <f ca="1">IF(O98=0, "", NISTmap!Q105)</f>
        <v>0</v>
      </c>
      <c r="O98" s="663">
        <f>NISTmap!R105</f>
        <v>4</v>
      </c>
      <c r="P98" s="661">
        <f ca="1">IF(Q98=0, "", NISTmap!T105)</f>
        <v>0</v>
      </c>
      <c r="Q98" s="664">
        <f>NISTmap!U105</f>
        <v>5</v>
      </c>
      <c r="R98" s="638"/>
      <c r="S98" s="26"/>
    </row>
    <row r="99" spans="1:19" ht="30" customHeight="1" x14ac:dyDescent="0.25">
      <c r="A99" s="3"/>
      <c r="B99" s="633"/>
      <c r="C99" s="654"/>
      <c r="D99" s="1291"/>
      <c r="E99" s="675"/>
      <c r="F99" s="676" t="s">
        <v>2026</v>
      </c>
      <c r="G99" s="1281"/>
      <c r="H99" s="677" t="s">
        <v>1901</v>
      </c>
      <c r="I99" s="678" t="s">
        <v>2166</v>
      </c>
      <c r="J99" s="659">
        <f ca="1">IF(K99=0, "", NISTmap!K106)</f>
        <v>0</v>
      </c>
      <c r="K99" s="660">
        <f>NISTmap!L106</f>
        <v>5</v>
      </c>
      <c r="L99" s="661">
        <f ca="1">IF(M99=0, "", NISTmap!K106)</f>
        <v>0</v>
      </c>
      <c r="M99" s="662">
        <f>NISTmap!O106</f>
        <v>1</v>
      </c>
      <c r="N99" s="661">
        <f ca="1">IF(O99=0, "", NISTmap!Q106)</f>
        <v>0</v>
      </c>
      <c r="O99" s="663">
        <f>NISTmap!R106</f>
        <v>3</v>
      </c>
      <c r="P99" s="661">
        <f ca="1">IF(Q99=0, "", NISTmap!T106)</f>
        <v>0</v>
      </c>
      <c r="Q99" s="664">
        <f>NISTmap!U106</f>
        <v>1</v>
      </c>
      <c r="R99" s="638"/>
      <c r="S99" s="26"/>
    </row>
    <row r="100" spans="1:19" ht="30" customHeight="1" x14ac:dyDescent="0.25">
      <c r="A100" s="3"/>
      <c r="B100" s="633"/>
      <c r="C100" s="654"/>
      <c r="D100" s="1291"/>
      <c r="E100" s="675"/>
      <c r="F100" s="676" t="s">
        <v>2026</v>
      </c>
      <c r="G100" s="1281"/>
      <c r="H100" s="677" t="s">
        <v>1934</v>
      </c>
      <c r="I100" s="678" t="s">
        <v>2167</v>
      </c>
      <c r="J100" s="659">
        <f ca="1">IF(K100=0, "", NISTmap!K107)</f>
        <v>0</v>
      </c>
      <c r="K100" s="660">
        <f>NISTmap!L107</f>
        <v>5</v>
      </c>
      <c r="L100" s="661">
        <f ca="1">IF(M100=0, "", NISTmap!K107)</f>
        <v>0</v>
      </c>
      <c r="M100" s="662">
        <f>NISTmap!O107</f>
        <v>1</v>
      </c>
      <c r="N100" s="661">
        <f ca="1">IF(O100=0, "", NISTmap!Q107)</f>
        <v>0</v>
      </c>
      <c r="O100" s="663">
        <f>NISTmap!R107</f>
        <v>1</v>
      </c>
      <c r="P100" s="661">
        <f ca="1">IF(Q100=0, "", NISTmap!T107)</f>
        <v>0</v>
      </c>
      <c r="Q100" s="664">
        <f>NISTmap!U107</f>
        <v>3</v>
      </c>
      <c r="R100" s="638"/>
      <c r="S100" s="26"/>
    </row>
    <row r="101" spans="1:19" ht="30" customHeight="1" x14ac:dyDescent="0.25">
      <c r="A101" s="3"/>
      <c r="B101" s="633"/>
      <c r="C101" s="654"/>
      <c r="D101" s="1291"/>
      <c r="E101" s="665" t="s">
        <v>2168</v>
      </c>
      <c r="F101" s="666" t="s">
        <v>2169</v>
      </c>
      <c r="G101" s="1280" t="s">
        <v>2170</v>
      </c>
      <c r="H101" s="667" t="s">
        <v>1909</v>
      </c>
      <c r="I101" s="668" t="s">
        <v>2171</v>
      </c>
      <c r="J101" s="669">
        <f ca="1">IF(K101=0, "", NISTmap!K108)</f>
        <v>0</v>
      </c>
      <c r="K101" s="670">
        <f>NISTmap!L108</f>
        <v>5</v>
      </c>
      <c r="L101" s="671">
        <f ca="1">IF(M101=0, "", NISTmap!K108)</f>
        <v>0</v>
      </c>
      <c r="M101" s="672">
        <f>NISTmap!O108</f>
        <v>1</v>
      </c>
      <c r="N101" s="671">
        <f ca="1">IF(O101=0, "", NISTmap!Q108)</f>
        <v>0</v>
      </c>
      <c r="O101" s="673">
        <f>NISTmap!R108</f>
        <v>2</v>
      </c>
      <c r="P101" s="671">
        <f ca="1">IF(Q101=0, "", NISTmap!T108)</f>
        <v>0</v>
      </c>
      <c r="Q101" s="674">
        <f>NISTmap!U108</f>
        <v>2</v>
      </c>
      <c r="R101" s="638"/>
      <c r="S101" s="26"/>
    </row>
    <row r="102" spans="1:19" ht="30" customHeight="1" x14ac:dyDescent="0.25">
      <c r="A102" s="3"/>
      <c r="B102" s="633"/>
      <c r="C102" s="654"/>
      <c r="D102" s="1291"/>
      <c r="E102" s="675"/>
      <c r="F102" s="676" t="s">
        <v>2026</v>
      </c>
      <c r="G102" s="1281"/>
      <c r="H102" s="677" t="s">
        <v>1915</v>
      </c>
      <c r="I102" s="678" t="s">
        <v>2172</v>
      </c>
      <c r="J102" s="659">
        <f ca="1">IF(K102=0, "", NISTmap!K109)</f>
        <v>0</v>
      </c>
      <c r="K102" s="660">
        <f>NISTmap!L109</f>
        <v>2</v>
      </c>
      <c r="L102" s="661" t="str">
        <f>IF(M102=0, "", NISTmap!K109)</f>
        <v/>
      </c>
      <c r="M102" s="662">
        <f>NISTmap!O109</f>
        <v>0</v>
      </c>
      <c r="N102" s="661">
        <f ca="1">IF(O102=0, "", NISTmap!Q109)</f>
        <v>0</v>
      </c>
      <c r="O102" s="663">
        <f>NISTmap!R109</f>
        <v>1</v>
      </c>
      <c r="P102" s="661">
        <f ca="1">IF(Q102=0, "", NISTmap!T109)</f>
        <v>0</v>
      </c>
      <c r="Q102" s="664">
        <f>NISTmap!U109</f>
        <v>1</v>
      </c>
      <c r="R102" s="638"/>
      <c r="S102" s="26"/>
    </row>
    <row r="103" spans="1:19" ht="30" customHeight="1" x14ac:dyDescent="0.25">
      <c r="A103" s="3"/>
      <c r="B103" s="633"/>
      <c r="C103" s="654"/>
      <c r="D103" s="1291"/>
      <c r="E103" s="675"/>
      <c r="F103" s="676" t="s">
        <v>2026</v>
      </c>
      <c r="G103" s="1281"/>
      <c r="H103" s="677" t="s">
        <v>1927</v>
      </c>
      <c r="I103" s="678" t="s">
        <v>2173</v>
      </c>
      <c r="J103" s="659">
        <f ca="1">IF(K103=0, "", NISTmap!K110)</f>
        <v>0</v>
      </c>
      <c r="K103" s="660">
        <f>NISTmap!L110</f>
        <v>1</v>
      </c>
      <c r="L103" s="661" t="str">
        <f>IF(M103=0, "", NISTmap!K110)</f>
        <v/>
      </c>
      <c r="M103" s="662">
        <f>NISTmap!O110</f>
        <v>0</v>
      </c>
      <c r="N103" s="661" t="str">
        <f>IF(O103=0, "", NISTmap!Q110)</f>
        <v/>
      </c>
      <c r="O103" s="663">
        <f>NISTmap!R110</f>
        <v>0</v>
      </c>
      <c r="P103" s="661">
        <f ca="1">IF(Q103=0, "", NISTmap!T110)</f>
        <v>0</v>
      </c>
      <c r="Q103" s="664">
        <f>NISTmap!U110</f>
        <v>1</v>
      </c>
      <c r="R103" s="638"/>
      <c r="S103" s="26"/>
    </row>
    <row r="104" spans="1:19" ht="30" customHeight="1" x14ac:dyDescent="0.25">
      <c r="A104" s="3"/>
      <c r="B104" s="633"/>
      <c r="C104" s="654"/>
      <c r="D104" s="1291"/>
      <c r="E104" s="675"/>
      <c r="F104" s="676" t="s">
        <v>2026</v>
      </c>
      <c r="G104" s="1281"/>
      <c r="H104" s="677" t="s">
        <v>1913</v>
      </c>
      <c r="I104" s="678" t="s">
        <v>2174</v>
      </c>
      <c r="J104" s="659">
        <f ca="1">IF(K104=0, "", NISTmap!K111)</f>
        <v>0</v>
      </c>
      <c r="K104" s="660">
        <f>NISTmap!L111</f>
        <v>4</v>
      </c>
      <c r="L104" s="661">
        <f ca="1">IF(M104=0, "", NISTmap!K111)</f>
        <v>0</v>
      </c>
      <c r="M104" s="662">
        <f>NISTmap!O111</f>
        <v>1</v>
      </c>
      <c r="N104" s="661">
        <f ca="1">IF(O104=0, "", NISTmap!Q111)</f>
        <v>0</v>
      </c>
      <c r="O104" s="663">
        <f>NISTmap!R111</f>
        <v>2</v>
      </c>
      <c r="P104" s="661">
        <f ca="1">IF(Q104=0, "", NISTmap!T111)</f>
        <v>0</v>
      </c>
      <c r="Q104" s="664">
        <f>NISTmap!U111</f>
        <v>1</v>
      </c>
      <c r="R104" s="638"/>
      <c r="S104" s="26"/>
    </row>
    <row r="105" spans="1:19" ht="60" customHeight="1" x14ac:dyDescent="0.25">
      <c r="A105" s="3"/>
      <c r="B105" s="633"/>
      <c r="C105" s="654"/>
      <c r="D105" s="1291"/>
      <c r="E105" s="679"/>
      <c r="F105" s="680" t="s">
        <v>2026</v>
      </c>
      <c r="G105" s="1282"/>
      <c r="H105" s="681" t="s">
        <v>1939</v>
      </c>
      <c r="I105" s="682" t="s">
        <v>2175</v>
      </c>
      <c r="J105" s="683">
        <f ca="1">IF(K105=0, "", NISTmap!K112)</f>
        <v>0</v>
      </c>
      <c r="K105" s="684">
        <f>NISTmap!L112</f>
        <v>11</v>
      </c>
      <c r="L105" s="685">
        <f ca="1">IF(M105=0, "", NISTmap!K112)</f>
        <v>0</v>
      </c>
      <c r="M105" s="686">
        <f>NISTmap!O112</f>
        <v>4</v>
      </c>
      <c r="N105" s="685">
        <f ca="1">IF(O105=0, "", NISTmap!Q112)</f>
        <v>0</v>
      </c>
      <c r="O105" s="687">
        <f>NISTmap!R112</f>
        <v>3</v>
      </c>
      <c r="P105" s="685">
        <f ca="1">IF(Q105=0, "", NISTmap!T112)</f>
        <v>0</v>
      </c>
      <c r="Q105" s="688">
        <f>NISTmap!U112</f>
        <v>4</v>
      </c>
      <c r="R105" s="638"/>
      <c r="S105" s="26"/>
    </row>
    <row r="106" spans="1:19" ht="30" customHeight="1" x14ac:dyDescent="0.25">
      <c r="A106" s="3"/>
      <c r="B106" s="633"/>
      <c r="C106" s="654"/>
      <c r="D106" s="1291"/>
      <c r="E106" s="665" t="s">
        <v>2176</v>
      </c>
      <c r="F106" s="666" t="s">
        <v>2177</v>
      </c>
      <c r="G106" s="1280" t="s">
        <v>2178</v>
      </c>
      <c r="H106" s="667" t="s">
        <v>1919</v>
      </c>
      <c r="I106" s="668" t="s">
        <v>2179</v>
      </c>
      <c r="J106" s="669">
        <f ca="1">IF(K106=0, "", NISTmap!K113)</f>
        <v>0</v>
      </c>
      <c r="K106" s="670">
        <f>NISTmap!L113</f>
        <v>1</v>
      </c>
      <c r="L106" s="671">
        <f ca="1">IF(M106=0, "", NISTmap!K113)</f>
        <v>0</v>
      </c>
      <c r="M106" s="672">
        <f>NISTmap!O113</f>
        <v>1</v>
      </c>
      <c r="N106" s="671" t="str">
        <f>IF(O106=0, "", NISTmap!Q113)</f>
        <v/>
      </c>
      <c r="O106" s="673">
        <f>NISTmap!R113</f>
        <v>0</v>
      </c>
      <c r="P106" s="671" t="str">
        <f>IF(Q106=0, "", NISTmap!T113)</f>
        <v/>
      </c>
      <c r="Q106" s="674">
        <f>NISTmap!U113</f>
        <v>0</v>
      </c>
      <c r="R106" s="638"/>
      <c r="S106" s="26"/>
    </row>
    <row r="107" spans="1:19" ht="30" customHeight="1" x14ac:dyDescent="0.25">
      <c r="A107" s="3"/>
      <c r="B107" s="633"/>
      <c r="C107" s="654"/>
      <c r="D107" s="1291"/>
      <c r="E107" s="675"/>
      <c r="F107" s="676" t="s">
        <v>2026</v>
      </c>
      <c r="G107" s="1281"/>
      <c r="H107" s="677" t="s">
        <v>1920</v>
      </c>
      <c r="I107" s="678" t="s">
        <v>2180</v>
      </c>
      <c r="J107" s="659">
        <f ca="1">IF(K107=0, "", NISTmap!K114)</f>
        <v>0</v>
      </c>
      <c r="K107" s="660">
        <f>NISTmap!L114</f>
        <v>1</v>
      </c>
      <c r="L107" s="661">
        <f ca="1">IF(M107=0, "", NISTmap!K114)</f>
        <v>0</v>
      </c>
      <c r="M107" s="662">
        <f>NISTmap!O114</f>
        <v>1</v>
      </c>
      <c r="N107" s="661" t="str">
        <f>IF(O107=0, "", NISTmap!Q114)</f>
        <v/>
      </c>
      <c r="O107" s="663">
        <f>NISTmap!R114</f>
        <v>0</v>
      </c>
      <c r="P107" s="661" t="str">
        <f>IF(Q107=0, "", NISTmap!T114)</f>
        <v/>
      </c>
      <c r="Q107" s="664">
        <f>NISTmap!U114</f>
        <v>0</v>
      </c>
      <c r="R107" s="638"/>
      <c r="S107" s="26"/>
    </row>
    <row r="108" spans="1:19" ht="30" customHeight="1" x14ac:dyDescent="0.25">
      <c r="A108" s="3"/>
      <c r="B108" s="633"/>
      <c r="C108" s="654"/>
      <c r="D108" s="1291"/>
      <c r="E108" s="679"/>
      <c r="F108" s="680" t="s">
        <v>2026</v>
      </c>
      <c r="G108" s="1282"/>
      <c r="H108" s="681" t="s">
        <v>1929</v>
      </c>
      <c r="I108" s="682" t="s">
        <v>2181</v>
      </c>
      <c r="J108" s="683">
        <f ca="1">IF(K108=0, "", NISTmap!K115)</f>
        <v>0</v>
      </c>
      <c r="K108" s="684">
        <f>NISTmap!L115</f>
        <v>6</v>
      </c>
      <c r="L108" s="685">
        <f ca="1">IF(M108=0, "", NISTmap!K115)</f>
        <v>0</v>
      </c>
      <c r="M108" s="686">
        <f>NISTmap!O115</f>
        <v>1</v>
      </c>
      <c r="N108" s="685">
        <f ca="1">IF(O108=0, "", NISTmap!Q115)</f>
        <v>0</v>
      </c>
      <c r="O108" s="687">
        <f>NISTmap!R115</f>
        <v>2</v>
      </c>
      <c r="P108" s="685">
        <f ca="1">IF(Q108=0, "", NISTmap!T115)</f>
        <v>0</v>
      </c>
      <c r="Q108" s="688">
        <f>NISTmap!U115</f>
        <v>3</v>
      </c>
      <c r="R108" s="638"/>
      <c r="S108" s="26"/>
    </row>
    <row r="109" spans="1:19" ht="30" customHeight="1" x14ac:dyDescent="0.25">
      <c r="A109" s="3"/>
      <c r="B109" s="633"/>
      <c r="C109" s="654"/>
      <c r="D109" s="1291"/>
      <c r="E109" s="690" t="s">
        <v>2182</v>
      </c>
      <c r="F109" s="676" t="s">
        <v>2183</v>
      </c>
      <c r="G109" s="1281" t="s">
        <v>2184</v>
      </c>
      <c r="H109" s="677" t="s">
        <v>1925</v>
      </c>
      <c r="I109" s="678" t="s">
        <v>2185</v>
      </c>
      <c r="J109" s="659">
        <f ca="1">IF(K109=0, "", NISTmap!K116)</f>
        <v>0</v>
      </c>
      <c r="K109" s="660">
        <f>NISTmap!L116</f>
        <v>2</v>
      </c>
      <c r="L109" s="661" t="str">
        <f>IF(M109=0, "", NISTmap!K116)</f>
        <v/>
      </c>
      <c r="M109" s="662">
        <f>NISTmap!O116</f>
        <v>0</v>
      </c>
      <c r="N109" s="661">
        <f ca="1">IF(O109=0, "", NISTmap!Q116)</f>
        <v>0</v>
      </c>
      <c r="O109" s="663">
        <f>NISTmap!R116</f>
        <v>1</v>
      </c>
      <c r="P109" s="661">
        <f ca="1">IF(Q109=0, "", NISTmap!T116)</f>
        <v>0</v>
      </c>
      <c r="Q109" s="664">
        <f>NISTmap!U116</f>
        <v>1</v>
      </c>
      <c r="R109" s="638"/>
      <c r="S109" s="26"/>
    </row>
    <row r="110" spans="1:19" ht="30" customHeight="1" x14ac:dyDescent="0.25">
      <c r="A110" s="3"/>
      <c r="B110" s="633"/>
      <c r="C110" s="654"/>
      <c r="D110" s="1291"/>
      <c r="E110" s="691"/>
      <c r="F110" s="680" t="s">
        <v>2026</v>
      </c>
      <c r="G110" s="1282"/>
      <c r="H110" s="681" t="s">
        <v>1926</v>
      </c>
      <c r="I110" s="682" t="s">
        <v>2186</v>
      </c>
      <c r="J110" s="659">
        <f ca="1">IF(K110=0, "", NISTmap!K117)</f>
        <v>0</v>
      </c>
      <c r="K110" s="660">
        <f>NISTmap!L117</f>
        <v>2</v>
      </c>
      <c r="L110" s="661" t="str">
        <f>IF(M110=0, "", NISTmap!K117)</f>
        <v/>
      </c>
      <c r="M110" s="662">
        <f>NISTmap!O117</f>
        <v>0</v>
      </c>
      <c r="N110" s="661">
        <f ca="1">IF(O110=0, "", NISTmap!Q117)</f>
        <v>0</v>
      </c>
      <c r="O110" s="663">
        <f>NISTmap!R117</f>
        <v>1</v>
      </c>
      <c r="P110" s="661">
        <f ca="1">IF(Q110=0, "", NISTmap!T117)</f>
        <v>0</v>
      </c>
      <c r="Q110" s="664">
        <f>NISTmap!U117</f>
        <v>1</v>
      </c>
      <c r="R110" s="638"/>
      <c r="S110" s="26"/>
    </row>
    <row r="111" spans="1:19" ht="30" customHeight="1" x14ac:dyDescent="0.25">
      <c r="A111" s="3"/>
      <c r="B111" s="633"/>
      <c r="C111" s="654"/>
      <c r="D111" s="1286" t="s">
        <v>1838</v>
      </c>
      <c r="E111" s="690" t="s">
        <v>2187</v>
      </c>
      <c r="F111" s="676" t="s">
        <v>2188</v>
      </c>
      <c r="G111" s="676" t="s">
        <v>2189</v>
      </c>
      <c r="H111" s="677" t="s">
        <v>1918</v>
      </c>
      <c r="I111" s="678" t="s">
        <v>2190</v>
      </c>
      <c r="J111" s="659">
        <f ca="1">IF(K111=0, "", NISTmap!K118)</f>
        <v>0</v>
      </c>
      <c r="K111" s="660">
        <f>NISTmap!L118</f>
        <v>7</v>
      </c>
      <c r="L111" s="661">
        <f ca="1">IF(M111=0, "", NISTmap!K118)</f>
        <v>0</v>
      </c>
      <c r="M111" s="662">
        <f>NISTmap!O118</f>
        <v>1</v>
      </c>
      <c r="N111" s="661">
        <f ca="1">IF(O111=0, "", NISTmap!Q118)</f>
        <v>0</v>
      </c>
      <c r="O111" s="663">
        <f>NISTmap!R118</f>
        <v>3</v>
      </c>
      <c r="P111" s="661">
        <f ca="1">IF(Q111=0, "", NISTmap!T118)</f>
        <v>0</v>
      </c>
      <c r="Q111" s="664">
        <f>NISTmap!U118</f>
        <v>3</v>
      </c>
      <c r="R111" s="638"/>
      <c r="S111" s="26"/>
    </row>
    <row r="112" spans="1:19" ht="30" customHeight="1" x14ac:dyDescent="0.25">
      <c r="A112" s="3"/>
      <c r="B112" s="633"/>
      <c r="C112" s="654"/>
      <c r="D112" s="1287"/>
      <c r="E112" s="665" t="s">
        <v>2191</v>
      </c>
      <c r="F112" s="666" t="s">
        <v>2183</v>
      </c>
      <c r="G112" s="1280" t="s">
        <v>2192</v>
      </c>
      <c r="H112" s="667" t="s">
        <v>1923</v>
      </c>
      <c r="I112" s="668" t="s">
        <v>2193</v>
      </c>
      <c r="J112" s="669">
        <f ca="1">IF(K112=0, "", NISTmap!K119)</f>
        <v>0</v>
      </c>
      <c r="K112" s="670">
        <f>NISTmap!L119</f>
        <v>4</v>
      </c>
      <c r="L112" s="671" t="str">
        <f>IF(M112=0, "", NISTmap!K119)</f>
        <v/>
      </c>
      <c r="M112" s="672">
        <f>NISTmap!O119</f>
        <v>0</v>
      </c>
      <c r="N112" s="671">
        <f ca="1">IF(O112=0, "", NISTmap!Q119)</f>
        <v>0</v>
      </c>
      <c r="O112" s="673">
        <f>NISTmap!R119</f>
        <v>1</v>
      </c>
      <c r="P112" s="671">
        <f ca="1">IF(Q112=0, "", NISTmap!T119)</f>
        <v>0</v>
      </c>
      <c r="Q112" s="674">
        <f>NISTmap!U119</f>
        <v>3</v>
      </c>
      <c r="R112" s="638"/>
      <c r="S112" s="26"/>
    </row>
    <row r="113" spans="1:19" ht="30" customHeight="1" x14ac:dyDescent="0.25">
      <c r="A113" s="3"/>
      <c r="B113" s="633"/>
      <c r="C113" s="654"/>
      <c r="D113" s="1287"/>
      <c r="E113" s="679"/>
      <c r="F113" s="680" t="s">
        <v>2026</v>
      </c>
      <c r="G113" s="1282"/>
      <c r="H113" s="681" t="s">
        <v>1924</v>
      </c>
      <c r="I113" s="682" t="s">
        <v>2194</v>
      </c>
      <c r="J113" s="683">
        <f ca="1">IF(K113=0, "", NISTmap!K120)</f>
        <v>0</v>
      </c>
      <c r="K113" s="684">
        <f>NISTmap!L120</f>
        <v>5</v>
      </c>
      <c r="L113" s="685" t="str">
        <f>IF(M113=0, "", NISTmap!K120)</f>
        <v/>
      </c>
      <c r="M113" s="686">
        <f>NISTmap!O120</f>
        <v>0</v>
      </c>
      <c r="N113" s="685">
        <f ca="1">IF(O113=0, "", NISTmap!Q120)</f>
        <v>0</v>
      </c>
      <c r="O113" s="687">
        <f>NISTmap!R120</f>
        <v>1</v>
      </c>
      <c r="P113" s="685">
        <f ca="1">IF(Q113=0, "", NISTmap!T120)</f>
        <v>0</v>
      </c>
      <c r="Q113" s="688">
        <f>NISTmap!U120</f>
        <v>4</v>
      </c>
      <c r="R113" s="638"/>
      <c r="S113" s="26"/>
    </row>
    <row r="114" spans="1:19" ht="30" customHeight="1" x14ac:dyDescent="0.25">
      <c r="A114" s="3"/>
      <c r="B114" s="633"/>
      <c r="C114" s="654"/>
      <c r="D114" s="1287"/>
      <c r="E114" s="690" t="s">
        <v>2195</v>
      </c>
      <c r="F114" s="676" t="s">
        <v>2161</v>
      </c>
      <c r="G114" s="1281" t="s">
        <v>2196</v>
      </c>
      <c r="H114" s="677" t="s">
        <v>2197</v>
      </c>
      <c r="I114" s="678" t="s">
        <v>2198</v>
      </c>
      <c r="J114" s="659" t="str">
        <f>IF(K114=0, "", NISTmap!K121)</f>
        <v/>
      </c>
      <c r="K114" s="660">
        <f>NISTmap!L121</f>
        <v>0</v>
      </c>
      <c r="L114" s="661" t="str">
        <f>IF(M114=0, "", NISTmap!K121)</f>
        <v/>
      </c>
      <c r="M114" s="662">
        <f>NISTmap!O121</f>
        <v>0</v>
      </c>
      <c r="N114" s="661" t="str">
        <f>IF(O114=0, "", NISTmap!Q121)</f>
        <v/>
      </c>
      <c r="O114" s="663">
        <f>NISTmap!R121</f>
        <v>0</v>
      </c>
      <c r="P114" s="661" t="str">
        <f>IF(Q114=0, "", NISTmap!T121)</f>
        <v/>
      </c>
      <c r="Q114" s="664">
        <f>NISTmap!U121</f>
        <v>0</v>
      </c>
      <c r="R114" s="638"/>
      <c r="S114" s="26"/>
    </row>
    <row r="115" spans="1:19" ht="30" customHeight="1" x14ac:dyDescent="0.25">
      <c r="A115" s="3"/>
      <c r="B115" s="633"/>
      <c r="C115" s="654"/>
      <c r="D115" s="1287"/>
      <c r="E115" s="690"/>
      <c r="F115" s="676" t="s">
        <v>2026</v>
      </c>
      <c r="G115" s="1281"/>
      <c r="H115" s="677" t="s">
        <v>1921</v>
      </c>
      <c r="I115" s="678" t="s">
        <v>2199</v>
      </c>
      <c r="J115" s="659">
        <f ca="1">IF(K115=0, "", NISTmap!K122)</f>
        <v>0</v>
      </c>
      <c r="K115" s="660">
        <f>NISTmap!L122</f>
        <v>1</v>
      </c>
      <c r="L115" s="661" t="str">
        <f>IF(M115=0, "", NISTmap!K122)</f>
        <v/>
      </c>
      <c r="M115" s="662">
        <f>NISTmap!O122</f>
        <v>0</v>
      </c>
      <c r="N115" s="661">
        <f ca="1">IF(O115=0, "", NISTmap!Q122)</f>
        <v>0</v>
      </c>
      <c r="O115" s="663">
        <f>NISTmap!R122</f>
        <v>1</v>
      </c>
      <c r="P115" s="661" t="str">
        <f>IF(Q115=0, "", NISTmap!T122)</f>
        <v/>
      </c>
      <c r="Q115" s="664">
        <f>NISTmap!U122</f>
        <v>0</v>
      </c>
      <c r="R115" s="638"/>
      <c r="S115" s="26"/>
    </row>
    <row r="116" spans="1:19" ht="30" customHeight="1" thickBot="1" x14ac:dyDescent="0.3">
      <c r="A116" s="3"/>
      <c r="B116" s="633"/>
      <c r="C116" s="692"/>
      <c r="D116" s="1287"/>
      <c r="E116" s="691"/>
      <c r="F116" s="680" t="s">
        <v>2026</v>
      </c>
      <c r="G116" s="1282"/>
      <c r="H116" s="681" t="s">
        <v>1917</v>
      </c>
      <c r="I116" s="682" t="s">
        <v>2200</v>
      </c>
      <c r="J116" s="693">
        <f ca="1">IF(K116=0, "", NISTmap!K123)</f>
        <v>0</v>
      </c>
      <c r="K116" s="694">
        <f>NISTmap!L123</f>
        <v>4</v>
      </c>
      <c r="L116" s="695" t="str">
        <f>IF(M116=0, "", NISTmap!K123)</f>
        <v/>
      </c>
      <c r="M116" s="696">
        <f>NISTmap!O123</f>
        <v>0</v>
      </c>
      <c r="N116" s="695">
        <f ca="1">IF(O116=0, "", NISTmap!Q123)</f>
        <v>0</v>
      </c>
      <c r="O116" s="697">
        <f>NISTmap!R123</f>
        <v>3</v>
      </c>
      <c r="P116" s="695">
        <f ca="1">IF(Q116=0, "", NISTmap!T123)</f>
        <v>0</v>
      </c>
      <c r="Q116" s="698">
        <f>NISTmap!U123</f>
        <v>1</v>
      </c>
      <c r="R116" s="638"/>
      <c r="S116" s="26"/>
    </row>
    <row r="117" spans="1:19" ht="13.8" x14ac:dyDescent="0.25">
      <c r="A117" s="12"/>
      <c r="B117" s="699"/>
      <c r="C117" s="700"/>
      <c r="D117" s="700"/>
      <c r="E117" s="700"/>
      <c r="F117" s="700"/>
      <c r="G117" s="700"/>
      <c r="H117" s="700"/>
      <c r="I117" s="700"/>
      <c r="J117" s="700"/>
      <c r="K117" s="700"/>
      <c r="L117" s="700"/>
      <c r="M117" s="700"/>
      <c r="N117" s="700"/>
      <c r="O117" s="700"/>
      <c r="P117" s="700"/>
      <c r="Q117" s="700"/>
      <c r="R117" s="701"/>
      <c r="S117" s="12"/>
    </row>
    <row r="118" spans="1:19" ht="13.8" x14ac:dyDescent="0.25">
      <c r="A118" s="12"/>
      <c r="B118" s="12"/>
      <c r="C118" s="12"/>
      <c r="D118" s="12"/>
      <c r="E118" s="12"/>
      <c r="F118" s="12"/>
      <c r="G118" s="12"/>
      <c r="H118" s="12"/>
      <c r="I118" s="12"/>
      <c r="J118" s="12"/>
      <c r="K118" s="12"/>
      <c r="L118" s="12"/>
      <c r="M118" s="12"/>
      <c r="N118" s="12"/>
      <c r="O118" s="12"/>
      <c r="P118" s="12"/>
      <c r="Q118" s="12"/>
      <c r="R118" s="12"/>
      <c r="S118" s="12"/>
    </row>
  </sheetData>
  <sheetProtection sheet="1" formatCells="0" formatColumns="0" formatRows="0"/>
  <mergeCells count="33">
    <mergeCell ref="D111:D116"/>
    <mergeCell ref="G112:G113"/>
    <mergeCell ref="G114:G116"/>
    <mergeCell ref="D77:D94"/>
    <mergeCell ref="G77:G81"/>
    <mergeCell ref="G82:G89"/>
    <mergeCell ref="G90:G94"/>
    <mergeCell ref="D95:D110"/>
    <mergeCell ref="G96:G100"/>
    <mergeCell ref="G101:G105"/>
    <mergeCell ref="G106:G108"/>
    <mergeCell ref="G109:G110"/>
    <mergeCell ref="G30:G32"/>
    <mergeCell ref="G33:G37"/>
    <mergeCell ref="D38:D76"/>
    <mergeCell ref="G38:G44"/>
    <mergeCell ref="G45:G49"/>
    <mergeCell ref="G50:G57"/>
    <mergeCell ref="G58:G67"/>
    <mergeCell ref="G68:G69"/>
    <mergeCell ref="G70:G71"/>
    <mergeCell ref="G72:G76"/>
    <mergeCell ref="D9:D37"/>
    <mergeCell ref="G9:G14"/>
    <mergeCell ref="G15:G19"/>
    <mergeCell ref="G20:G23"/>
    <mergeCell ref="G24:G29"/>
    <mergeCell ref="V5:V15"/>
    <mergeCell ref="D7:I7"/>
    <mergeCell ref="J7:Q7"/>
    <mergeCell ref="L8:M8"/>
    <mergeCell ref="N8:O8"/>
    <mergeCell ref="P8:Q8"/>
  </mergeCells>
  <conditionalFormatting sqref="J37:J116">
    <cfRule type="colorScale" priority="4">
      <colorScale>
        <cfvo type="num" val="0"/>
        <cfvo type="num" val="0.5"/>
        <cfvo type="num" val="1"/>
        <color rgb="FFFF7128"/>
        <color rgb="FFFFEB84"/>
        <color rgb="FF92D050"/>
      </colorScale>
    </cfRule>
  </conditionalFormatting>
  <conditionalFormatting sqref="L37:L116 N37:N116 P37:P116">
    <cfRule type="colorScale" priority="3">
      <colorScale>
        <cfvo type="num" val="0"/>
        <cfvo type="num" val="3.472222222222222E-3"/>
        <cfvo type="num" val="1"/>
        <color rgb="FFFF7128"/>
        <color rgb="FFFFEB84"/>
        <color rgb="FF92D050"/>
      </colorScale>
    </cfRule>
  </conditionalFormatting>
  <conditionalFormatting sqref="J9:J36">
    <cfRule type="colorScale" priority="2">
      <colorScale>
        <cfvo type="num" val="0"/>
        <cfvo type="num" val="0.5"/>
        <cfvo type="num" val="1"/>
        <color rgb="FFFF7128"/>
        <color rgb="FFFFEB84"/>
        <color rgb="FF92D050"/>
      </colorScale>
    </cfRule>
  </conditionalFormatting>
  <conditionalFormatting sqref="L9:L36 N9:N36 P9:P36">
    <cfRule type="colorScale" priority="1">
      <colorScale>
        <cfvo type="num" val="0"/>
        <cfvo type="num" val="3.472222222222222E-3"/>
        <cfvo type="num" val="1"/>
        <color rgb="FFFF7128"/>
        <color rgb="FFFFEB84"/>
        <color rgb="FF92D050"/>
      </colorScale>
    </cfRule>
  </conditionalFormatting>
  <pageMargins left="0.7" right="0.7" top="0.75" bottom="0.75" header="0.3" footer="0.3"/>
  <pageSetup paperSize="9" scale="34" orientation="portrait" r:id="rId1"/>
  <rowBreaks count="2" manualBreakCount="2">
    <brk id="37" max="16383" man="1"/>
    <brk id="76" max="16383" man="1"/>
  </rowBreaks>
  <colBreaks count="1" manualBreakCount="1">
    <brk id="19" max="1048575" man="1"/>
  </colBreaks>
  <ignoredErrors>
    <ignoredError sqref="K9:K116" formula="1"/>
  </ignoredError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0058B1"/>
  </sheetPr>
  <dimension ref="A1:O41"/>
  <sheetViews>
    <sheetView showGridLines="0" zoomScale="80" zoomScaleNormal="80" zoomScalePageLayoutView="70" workbookViewId="0"/>
  </sheetViews>
  <sheetFormatPr defaultColWidth="9.26953125" defaultRowHeight="18" customHeight="1" x14ac:dyDescent="0.25"/>
  <cols>
    <col min="1" max="2" width="1.6328125" style="5" customWidth="1"/>
    <col min="3" max="3" width="2.6328125" style="5" customWidth="1"/>
    <col min="4" max="4" width="50.6328125" style="13" customWidth="1"/>
    <col min="5" max="5" width="15.6328125" style="47" customWidth="1"/>
    <col min="6" max="6" width="5.6328125" style="5" customWidth="1"/>
    <col min="7" max="7" width="50.6328125" style="5" customWidth="1"/>
    <col min="8" max="8" width="15.6328125" style="5" customWidth="1"/>
    <col min="9" max="9" width="2.6328125" style="5" customWidth="1"/>
    <col min="10" max="10" width="1.6328125" style="5" customWidth="1"/>
    <col min="11" max="11" width="1.6328125" style="13" customWidth="1"/>
    <col min="12" max="12" width="2.6328125" style="46" customWidth="1"/>
    <col min="13" max="13" width="1.6328125" style="77" customWidth="1"/>
    <col min="14" max="14" width="80.6328125" style="77" customWidth="1"/>
    <col min="15" max="15" width="1.6328125" style="77" customWidth="1"/>
    <col min="16" max="16384" width="9.26953125" style="5"/>
  </cols>
  <sheetData>
    <row r="1" spans="1:15" ht="13.5" customHeight="1" x14ac:dyDescent="0.25">
      <c r="A1" s="3"/>
      <c r="B1" s="3"/>
      <c r="C1" s="3"/>
      <c r="D1" s="4"/>
      <c r="E1" s="4"/>
      <c r="F1" s="3"/>
      <c r="G1" s="3"/>
      <c r="H1" s="3"/>
      <c r="I1" s="3"/>
      <c r="J1" s="3"/>
      <c r="K1" s="3"/>
      <c r="L1" s="43"/>
      <c r="M1" s="3"/>
      <c r="N1" s="3"/>
      <c r="O1" s="3"/>
    </row>
    <row r="2" spans="1:15" s="9" customFormat="1" ht="18" customHeight="1" x14ac:dyDescent="0.25">
      <c r="A2" s="6"/>
      <c r="B2" s="7"/>
      <c r="C2" s="35"/>
      <c r="D2" s="35"/>
      <c r="E2" s="49"/>
      <c r="F2" s="35"/>
      <c r="G2" s="35"/>
      <c r="H2" s="35"/>
      <c r="I2" s="35"/>
      <c r="J2" s="8"/>
      <c r="K2" s="6"/>
      <c r="L2" s="44"/>
      <c r="M2" s="6"/>
      <c r="N2" s="913" t="s">
        <v>2307</v>
      </c>
      <c r="O2" s="6"/>
    </row>
    <row r="3" spans="1:15" ht="18" customHeight="1" x14ac:dyDescent="0.2">
      <c r="A3" s="3"/>
      <c r="B3" s="10"/>
      <c r="D3" s="72" t="s">
        <v>477</v>
      </c>
      <c r="E3" s="72"/>
      <c r="F3" s="72"/>
      <c r="G3" s="72"/>
      <c r="H3" s="72"/>
      <c r="I3" s="52"/>
      <c r="J3" s="11"/>
      <c r="K3" s="3"/>
      <c r="L3" s="43"/>
      <c r="M3" s="3"/>
      <c r="N3" s="857"/>
      <c r="O3" s="6"/>
    </row>
    <row r="4" spans="1:15" ht="34.950000000000003" customHeight="1" x14ac:dyDescent="0.2">
      <c r="A4" s="3"/>
      <c r="B4" s="10"/>
      <c r="D4" s="71" t="str">
        <f>IF(VLOOKUP("KM75",Languages!$A:$D,1,TRUE)="KM75",VLOOKUP("KM75",Languages!$A:$D,Summary!$C$7,TRUE),NA())</f>
        <v>Kyberturvallisuuden kehitysalueet</v>
      </c>
      <c r="E4" s="73"/>
      <c r="F4" s="73"/>
      <c r="G4" s="73"/>
      <c r="H4" s="73"/>
      <c r="I4" s="51"/>
      <c r="J4" s="11"/>
      <c r="K4" s="3"/>
      <c r="L4" s="43"/>
      <c r="M4" s="3"/>
      <c r="N4" s="1161" t="s">
        <v>3094</v>
      </c>
      <c r="O4" s="6"/>
    </row>
    <row r="5" spans="1:15" s="34" customFormat="1" ht="19.95" customHeight="1" x14ac:dyDescent="0.2">
      <c r="A5" s="439"/>
      <c r="B5" s="10"/>
      <c r="D5" s="93" t="str">
        <f>IF(VLOOKUP("KM63",Languages!$A:$D,1,TRUE)="KM63",VLOOKUP("KM63",Languages!$A:$D,Summary!$C$7,TRUE),NA())</f>
        <v xml:space="preserve"> Kyberturvallisuuden osioiden mukaisesti</v>
      </c>
      <c r="E5" s="73"/>
      <c r="F5" s="73"/>
      <c r="G5" s="73"/>
      <c r="H5" s="73"/>
      <c r="I5" s="51"/>
      <c r="J5" s="11"/>
      <c r="K5" s="439"/>
      <c r="L5" s="43"/>
      <c r="M5" s="3"/>
      <c r="N5" s="1161"/>
      <c r="O5" s="6"/>
    </row>
    <row r="6" spans="1:15" s="34" customFormat="1" ht="29.55" customHeight="1" x14ac:dyDescent="0.2">
      <c r="A6" s="439"/>
      <c r="B6" s="27"/>
      <c r="C6" s="36"/>
      <c r="D6" s="1293" t="str">
        <f>IF(VLOOKUP("KM74",Languages!$A:$D,1,TRUE)="KM74",VLOOKUP("KM74",Languages!$A:$D,Summary!$C$7,TRUE),NA())</f>
        <v>Kypsyystasolle 1 vaadittavia toimenpiteitä</v>
      </c>
      <c r="E6" s="1293"/>
      <c r="F6" s="1293"/>
      <c r="G6" s="1293"/>
      <c r="H6" s="1293"/>
      <c r="I6" s="28"/>
      <c r="J6" s="29"/>
      <c r="K6" s="439"/>
      <c r="L6" s="43"/>
      <c r="M6" s="3"/>
      <c r="N6" s="1161"/>
      <c r="O6" s="6"/>
    </row>
    <row r="7" spans="1:15" s="17" customFormat="1" ht="10.050000000000001" customHeight="1" x14ac:dyDescent="0.2">
      <c r="A7" s="26"/>
      <c r="B7" s="27"/>
      <c r="C7" s="36"/>
      <c r="E7" s="33"/>
      <c r="F7" s="33"/>
      <c r="G7" s="33"/>
      <c r="H7" s="33"/>
      <c r="I7" s="33"/>
      <c r="J7" s="31"/>
      <c r="K7" s="26"/>
      <c r="L7" s="43"/>
      <c r="M7" s="3"/>
      <c r="N7" s="1161"/>
      <c r="O7" s="6"/>
    </row>
    <row r="8" spans="1:15" s="17" customFormat="1" ht="49.95" customHeight="1" x14ac:dyDescent="0.25">
      <c r="A8" s="26"/>
      <c r="B8" s="59">
        <v>1</v>
      </c>
      <c r="C8" s="60" t="str">
        <f ca="1">_xlfn.IFNA(VLOOKUP("0-1-0-"&amp;B8,Data!$W:$X,2,FALSE),"")</f>
        <v>ACCESS-1a</v>
      </c>
      <c r="D8" s="1292" t="str">
        <f ca="1">IFERROR("("&amp;VLOOKUP("0-1-0-"&amp;B8,Data!$W:$X,2,FALSE)&amp;") "&amp;IF(VLOOKUP(C8,Languages!$A:$D,1,TRUE)=C8,VLOOKUP(C8,Languages!$A:$D,Summary!$C$7,TRUE),NA()),"")</f>
        <v>(ACCESS-1a) Työntekijöille ja muille entiteeteille (kuten prosesseille tai laitteille, jotka tarvitsevat pääsyn toimintoon kuuluviin laitteisiin, ohjelmistoihin tai tietovarantoihin) osoitetaan erilliset identiteetit. (Huom. tällä vaatimuksella ei kuitenkaan rajoiteta jaettujen identiteettien käyttöä). Tasolla 1 tämän ei tarvitse olla systemaattista ja säännöllistä.</v>
      </c>
      <c r="E8" s="1292"/>
      <c r="F8" s="440" t="str">
        <f ca="1">_xlfn.IFNA(VLOOKUP("0-1-0-"&amp;I8,Data!$W:$X,2,FALSE),"")</f>
        <v>ACCESS-1b</v>
      </c>
      <c r="G8" s="1292" t="str">
        <f ca="1">IFERROR("("&amp;VLOOKUP("0-1-0-"&amp;I8,Data!$W:$X,2,FALSE)&amp;") "&amp;IF(VLOOKUP(F8,Languages!$A:$D,1,TRUE)=F8,VLOOKUP(F8,Languages!$A:$D,Summary!$C$7,TRUE),NA()),"")</f>
        <v>(ACCESS-1b) Työntekijöille ja muille entiteeteille jaetaan pääsyvaltuustiedot (kuten salasanat, älykortit tai avaimet). Tasolla 1 tämän ei tarvitse olla systemaattista ja säännöllistä.</v>
      </c>
      <c r="H8" s="1292"/>
      <c r="I8" s="58">
        <v>2</v>
      </c>
      <c r="J8" s="31"/>
      <c r="K8" s="26"/>
      <c r="L8" s="43"/>
      <c r="M8" s="12"/>
      <c r="N8" s="1161"/>
      <c r="O8" s="12"/>
    </row>
    <row r="9" spans="1:15" s="17" customFormat="1" ht="49.95" customHeight="1" x14ac:dyDescent="0.25">
      <c r="A9" s="26"/>
      <c r="B9" s="59">
        <v>3</v>
      </c>
      <c r="C9" s="60" t="str">
        <f ca="1">_xlfn.IFNA(VLOOKUP("0-1-0-"&amp;B9,Data!$W:$X,2,FALSE),"")</f>
        <v>ACCESS-1c</v>
      </c>
      <c r="D9" s="1292" t="str">
        <f ca="1">IFERROR("("&amp;VLOOKUP("0-1-0-"&amp;B9,Data!$W:$X,2,FALSE)&amp;") "&amp;IF(VLOOKUP(C9,Languages!$A:$D,1,TRUE)=C9,VLOOKUP(C9,Languages!$A:$D,Summary!$C$7,TRUE),NA()),"")</f>
        <v>(ACCESS-1c) Identiteetit poistetaan käytöstä, kun niitä ei enää tarvita. Tasolla 1 tämän ei tarvitse olla systemaattista ja säännöllistä.</v>
      </c>
      <c r="E9" s="1292"/>
      <c r="F9" s="440" t="str">
        <f ca="1">_xlfn.IFNA(VLOOKUP("0-1-0-"&amp;I9,Data!$W:$X,2,FALSE),"")</f>
        <v>ACCESS-2a</v>
      </c>
      <c r="G9" s="1292" t="str">
        <f ca="1">IFERROR("("&amp;VLOOKUP("0-1-0-"&amp;I9,Data!$W:$X,2,FALSE)&amp;") "&amp;IF(VLOOKUP(F9,Languages!$A:$D,1,TRUE)=F9,VLOOKUP(F9,Languages!$A:$D,Summary!$C$7,TRUE),NA()),"")</f>
        <v>(ACCESS-2a) Loogisten käyttöoikeuksien hallinnan valvontakeinoja on käytössä. Tasolla 1 tämän ei tarvitse olla systemaattista ja säännöllistä.</v>
      </c>
      <c r="H9" s="1292"/>
      <c r="I9" s="58">
        <v>4</v>
      </c>
      <c r="J9" s="31"/>
      <c r="K9" s="26"/>
      <c r="L9" s="45"/>
      <c r="M9" s="12"/>
      <c r="N9" s="1161"/>
      <c r="O9" s="12"/>
    </row>
    <row r="10" spans="1:15" s="17" customFormat="1" ht="49.95" customHeight="1" x14ac:dyDescent="0.25">
      <c r="A10" s="26"/>
      <c r="B10" s="59">
        <v>5</v>
      </c>
      <c r="C10" s="60" t="str">
        <f ca="1">_xlfn.IFNA(VLOOKUP("0-1-0-"&amp;B10,Data!$W:$X,2,FALSE),"")</f>
        <v>ACCESS-2b</v>
      </c>
      <c r="D10" s="1292" t="str">
        <f ca="1">IFERROR("("&amp;VLOOKUP("0-1-0-"&amp;B10,Data!$W:$X,2,FALSE)&amp;") "&amp;IF(VLOOKUP(C10,Languages!$A:$D,1,TRUE)=C10,VLOOKUP(C10,Languages!$A:$D,Summary!$C$7,TRUE),NA()),"")</f>
        <v>(ACCESS-2b) Käyttöoikeudet poistetaan, kun niitä ei enää tarvita. Tasolla 1 tämän ei tarvitse olla systemaattista ja säännöllistä.</v>
      </c>
      <c r="E10" s="1292"/>
      <c r="F10" s="440" t="str">
        <f ca="1">_xlfn.IFNA(VLOOKUP("0-1-0-"&amp;I10,Data!$W:$X,2,FALSE),"")</f>
        <v>ACCESS-3a</v>
      </c>
      <c r="G10" s="1292" t="str">
        <f ca="1">IFERROR("("&amp;VLOOKUP("0-1-0-"&amp;I10,Data!$W:$X,2,FALSE)&amp;") "&amp;IF(VLOOKUP(F10,Languages!$A:$D,1,TRUE)=F10,VLOOKUP(F10,Languages!$A:$D,Summary!$C$7,TRUE),NA()),"")</f>
        <v>(ACCESS-3a) Fyysisen pääsynhallinnan valvontakeinoja on käytössä (kuten aitoja, lukkoja tai kylttejä). Tasolla 1 tämän ei tarvitse olla systemaattista ja säännöllistä.</v>
      </c>
      <c r="H10" s="1292"/>
      <c r="I10" s="58">
        <v>6</v>
      </c>
      <c r="J10" s="31"/>
      <c r="K10" s="26"/>
      <c r="L10" s="45"/>
      <c r="M10" s="838"/>
      <c r="N10" s="1161"/>
      <c r="O10" s="838"/>
    </row>
    <row r="11" spans="1:15" s="17" customFormat="1" ht="49.95" customHeight="1" x14ac:dyDescent="0.25">
      <c r="A11" s="26"/>
      <c r="B11" s="59">
        <v>7</v>
      </c>
      <c r="C11" s="60" t="str">
        <f ca="1">_xlfn.IFNA(VLOOKUP("0-1-0-"&amp;B11,Data!$W:$X,2,FALSE),"")</f>
        <v>ACCESS-3b</v>
      </c>
      <c r="D11" s="1292" t="str">
        <f ca="1">IFERROR("("&amp;VLOOKUP("0-1-0-"&amp;B11,Data!$W:$X,2,FALSE)&amp;") "&amp;IF(VLOOKUP(C11,Languages!$A:$D,1,TRUE)=C11,VLOOKUP(C11,Languages!$A:$D,Summary!$C$7,TRUE),NA()),"")</f>
        <v>(ACCESS-3b) Pääsyoikeudet poistetaan, kun niitä ei enää tarvita. Tasolla 1 tämän ei tarvitse olla systemaattista ja säännöllistä.</v>
      </c>
      <c r="E11" s="1292"/>
      <c r="F11" s="440" t="str">
        <f ca="1">_xlfn.IFNA(VLOOKUP("0-1-0-"&amp;I11,Data!$W:$X,2,FALSE),"")</f>
        <v>ACCESS-3c</v>
      </c>
      <c r="G11" s="1292" t="str">
        <f ca="1">IFERROR("("&amp;VLOOKUP("0-1-0-"&amp;I11,Data!$W:$X,2,FALSE)&amp;") "&amp;IF(VLOOKUP(F11,Languages!$A:$D,1,TRUE)=F11,VLOOKUP(F11,Languages!$A:$D,Summary!$C$7,TRUE),NA()),"")</f>
        <v>(ACCESS-3c) Pääsyoikeuksien käytöstä pidetään lokia. Tasolla 1 tämän ei tarvitse olla systemaattista ja säännöllistä.</v>
      </c>
      <c r="H11" s="1292"/>
      <c r="I11" s="58">
        <v>8</v>
      </c>
      <c r="J11" s="31"/>
      <c r="K11" s="26"/>
      <c r="L11" s="45"/>
      <c r="M11" s="838"/>
      <c r="N11" s="1161"/>
      <c r="O11" s="838"/>
    </row>
    <row r="12" spans="1:15" s="17" customFormat="1" ht="49.95" customHeight="1" x14ac:dyDescent="0.25">
      <c r="A12" s="26"/>
      <c r="B12" s="59">
        <v>9</v>
      </c>
      <c r="C12" s="60" t="str">
        <f ca="1">_xlfn.IFNA(VLOOKUP("0-1-0-"&amp;B12,Data!$W:$X,2,FALSE),"")</f>
        <v>ARCHITECTURE-1a</v>
      </c>
      <c r="D12" s="1292" t="str">
        <f ca="1">IFERROR("("&amp;VLOOKUP("0-1-0-"&amp;B12,Data!$W:$X,2,FALSE)&amp;") "&amp;IF(VLOOKUP(C12,Languages!$A:$D,1,TRUE)=C12,VLOOKUP(C12,Languages!$A:$D,Summary!$C$7,TRUE),NA()),"")</f>
        <v>(ARCHITECTURE-1a) Organisaatiolla on suunnitelma tai strategia kyberarkkitehtuurin kehittämiselle (joka sisältää esimerkiksi kyberarkkitehtuurin tavoitteet, prioriteetit, vastuut ja seurannan). Tasolla 1 sen kehittämisen ja ylläpidon ei tarvitse olla systemaattista ja säännöllistä.</v>
      </c>
      <c r="E12" s="1292"/>
      <c r="F12" s="440" t="str">
        <f ca="1">_xlfn.IFNA(VLOOKUP("0-1-0-"&amp;I12,Data!$W:$X,2,FALSE),"")</f>
        <v>ARCHITECTURE-2a</v>
      </c>
      <c r="G12" s="1292" t="str">
        <f ca="1">IFERROR("("&amp;VLOOKUP("0-1-0-"&amp;I12,Data!$W:$X,2,FALSE)&amp;") "&amp;IF(VLOOKUP(F12,Languages!$A:$D,1,TRUE)=F12,VLOOKUP(F12,Languages!$A:$D,Summary!$C$7,TRUE),NA()),"")</f>
        <v>(ARCHITECTURE-2a) Organisaation IT-järjestelmät on eriytetty mahdollisista OT-järjestelmistä segmentoimalla ne joko fyysisesti tai loogisesti. Tasolla 1 tämän ei tarvitse olla systemaattista ja säännöllistä. [Tulkintaohje: mikäli OT-järjestelmiä tai vastaavia ei ole, aseteta käytäntö "täysin toteutetuksi"]</v>
      </c>
      <c r="H12" s="1292"/>
      <c r="I12" s="58">
        <v>10</v>
      </c>
      <c r="J12" s="31"/>
      <c r="K12" s="26"/>
      <c r="L12" s="45"/>
      <c r="M12" s="838"/>
      <c r="N12" s="1162"/>
      <c r="O12" s="838"/>
    </row>
    <row r="13" spans="1:15" s="17" customFormat="1" ht="49.95" customHeight="1" x14ac:dyDescent="0.25">
      <c r="A13" s="26"/>
      <c r="B13" s="59">
        <v>11</v>
      </c>
      <c r="C13" s="60" t="str">
        <f ca="1">_xlfn.IFNA(VLOOKUP("0-1-0-"&amp;B13,Data!$W:$X,2,FALSE),"")</f>
        <v>ARCHITECTURE-3a</v>
      </c>
      <c r="D13" s="1292" t="str">
        <f ca="1">IFERROR("("&amp;VLOOKUP("0-1-0-"&amp;B13,Data!$W:$X,2,FALSE)&amp;") "&amp;IF(VLOOKUP(C13,Languages!$A:$D,1,TRUE)=C13,VLOOKUP(C13,Languages!$A:$D,Summary!$C$7,TRUE),NA()),"")</f>
        <v>(ARCHITECTURE-3a) Kyberturvallisuuden suojausmekanismeja on käytössä toiminnon kannalta tärkeille laitteille, ohjelmistoille ja tietovarannoille. Tasolla 1 tämän ei tarvitse olla systemaattista ja säännöllistä.</v>
      </c>
      <c r="E13" s="1292"/>
      <c r="F13" s="440" t="str">
        <f ca="1">_xlfn.IFNA(VLOOKUP("0-1-0-"&amp;I13,Data!$W:$X,2,FALSE),"")</f>
        <v>ARCHITECTURE-5a</v>
      </c>
      <c r="G13" s="1292" t="str">
        <f ca="1">IFERROR("("&amp;VLOOKUP("0-1-0-"&amp;I13,Data!$W:$X,2,FALSE)&amp;") "&amp;IF(VLOOKUP(F13,Languages!$A:$D,1,TRUE)=F13,VLOOKUP(F13,Languages!$A:$D,Summary!$C$7,TRUE),NA()),"")</f>
        <v>(ARCHITECTURE-5a) Tallennettua arkaluontoista tietoa ("data at rest") suojataan. Tasolla 1 tämän ei tarvitse olla systemaattista ja säännöllistä.</v>
      </c>
      <c r="H13" s="1292"/>
      <c r="I13" s="58">
        <v>12</v>
      </c>
      <c r="J13" s="31"/>
      <c r="K13" s="26"/>
      <c r="L13" s="45"/>
      <c r="M13" s="838"/>
      <c r="N13" s="12"/>
      <c r="O13" s="838"/>
    </row>
    <row r="14" spans="1:15" s="17" customFormat="1" ht="49.95" customHeight="1" x14ac:dyDescent="0.25">
      <c r="A14" s="26"/>
      <c r="B14" s="59">
        <v>13</v>
      </c>
      <c r="C14" s="60" t="str">
        <f ca="1">_xlfn.IFNA(VLOOKUP("0-1-0-"&amp;B14,Data!$W:$X,2,FALSE),"")</f>
        <v>ASSET-1a</v>
      </c>
      <c r="D14" s="1292" t="str">
        <f ca="1">IFERROR("("&amp;VLOOKUP("0-1-0-"&amp;B14,Data!$W:$X,2,FALSE)&amp;") "&amp;IF(VLOOKUP(C14,Languages!$A:$D,1,TRUE)=C14,VLOOKUP(C14,Languages!$A:$D,Summary!$C$7,TRUE),NA()),"")</f>
        <v>(ASSET-1a) Toiminnon kannalta tärkeistä laitteista ja ohjelmistoista on olemassa rekisteri. (Huomioi myös mahdollisten OT-ympäristöjen laitteet ja ohjelmistot). Tasolla 1 rekisterin ylläpidon ei tarvitse olla systemaattista ja säännöllistä.</v>
      </c>
      <c r="E14" s="1292"/>
      <c r="F14" s="440" t="str">
        <f ca="1">_xlfn.IFNA(VLOOKUP("0-1-0-"&amp;I14,Data!$W:$X,2,FALSE),"")</f>
        <v>ASSET-2a</v>
      </c>
      <c r="G14" s="1292" t="str">
        <f ca="1">IFERROR("("&amp;VLOOKUP("0-1-0-"&amp;I14,Data!$W:$X,2,FALSE)&amp;") "&amp;IF(VLOOKUP(F14,Languages!$A:$D,1,TRUE)=F14,VLOOKUP(F14,Languages!$A:$D,Summary!$C$7,TRUE),NA()),"")</f>
        <v>(ASSET-2a) Toiminnon kannalta tärkeistä tietovarannoista (kuten asiakastiedosta tai laitteiden ja ohjelmistojen perusasetuksista) on olemassa rekisteri. (Huomioi myös mahdollisten OT-ympäristöjen tietovarannot). Tasolla 1 rekisterin ylläpidon ei tarvitse olla systemaattista ja säännöllistä.</v>
      </c>
      <c r="H14" s="1292"/>
      <c r="I14" s="58">
        <v>14</v>
      </c>
      <c r="J14" s="31"/>
      <c r="K14" s="26"/>
      <c r="L14" s="45"/>
      <c r="M14" s="77"/>
      <c r="N14" s="77"/>
      <c r="O14" s="77"/>
    </row>
    <row r="15" spans="1:15" s="17" customFormat="1" ht="49.95" customHeight="1" x14ac:dyDescent="0.25">
      <c r="A15" s="26"/>
      <c r="B15" s="59">
        <v>15</v>
      </c>
      <c r="C15" s="60" t="str">
        <f ca="1">_xlfn.IFNA(VLOOKUP("0-1-0-"&amp;B15,Data!$W:$X,2,FALSE),"")</f>
        <v>ASSET-3a</v>
      </c>
      <c r="D15" s="1292" t="str">
        <f ca="1">IFERROR("("&amp;VLOOKUP("0-1-0-"&amp;B15,Data!$W:$X,2,FALSE)&amp;") "&amp;IF(VLOOKUP(C15,Languages!$A:$D,1,TRUE)=C15,VLOOKUP(C15,Languages!$A:$D,Summary!$C$7,TRUE),NA()),"")</f>
        <v>(ASSET-3a) Laitteiden, ohjelmistojen ja tietovarantojen konfiguraatioista on luotu vakioidut perusasetukset. Tasolla 1 tämän ei tarvitse olla systemaattista ja säännöllistä.</v>
      </c>
      <c r="E15" s="1292"/>
      <c r="F15" s="440" t="str">
        <f ca="1">_xlfn.IFNA(VLOOKUP("0-1-0-"&amp;I15,Data!$W:$X,2,FALSE),"")</f>
        <v>ASSET-4a</v>
      </c>
      <c r="G15" s="1292" t="str">
        <f ca="1">IFERROR("("&amp;VLOOKUP("0-1-0-"&amp;I15,Data!$W:$X,2,FALSE)&amp;") "&amp;IF(VLOOKUP(F15,Languages!$A:$D,1,TRUE)=F15,VLOOKUP(F15,Languages!$A:$D,Summary!$C$7,TRUE),NA()),"")</f>
        <v>(ASSET-4a) Rekistereihin kirjattuihin laitteisiin, ohjelmistoihin ja tietovarantoihin tehtävät muutokset arvioidaan ja hyväksytetään ennen niiden toteuttamista. Tasolla 1 tämän ei tarvitse olla systemaattista ja säännöllistä.</v>
      </c>
      <c r="H15" s="1292"/>
      <c r="I15" s="58">
        <v>16</v>
      </c>
      <c r="J15" s="31"/>
      <c r="K15" s="26"/>
      <c r="L15" s="45"/>
      <c r="M15" s="77"/>
      <c r="N15" s="77"/>
      <c r="O15" s="77"/>
    </row>
    <row r="16" spans="1:15" s="17" customFormat="1" ht="49.95" customHeight="1" x14ac:dyDescent="0.25">
      <c r="A16" s="26"/>
      <c r="B16" s="59">
        <v>17</v>
      </c>
      <c r="C16" s="60" t="str">
        <f ca="1">_xlfn.IFNA(VLOOKUP("0-1-0-"&amp;B16,Data!$W:$X,2,FALSE),"")</f>
        <v>ASSET-4b</v>
      </c>
      <c r="D16" s="1292" t="str">
        <f ca="1">IFERROR("("&amp;VLOOKUP("0-1-0-"&amp;B16,Data!$W:$X,2,FALSE)&amp;") "&amp;IF(VLOOKUP(C16,Languages!$A:$D,1,TRUE)=C16,VLOOKUP(C16,Languages!$A:$D,Summary!$C$7,TRUE),NA()),"")</f>
        <v>(ASSET-4b) Rekistereihin kirjattuihin laitteisiin, ohjelmistoihin ja tietovarantoihin tehtävistä muutoksista pidetään lokia. Tasolla 1 tämän ei tarvitse olla systemaattista ja säännöllistä.</v>
      </c>
      <c r="E16" s="1292"/>
      <c r="F16" s="440" t="str">
        <f ca="1">_xlfn.IFNA(VLOOKUP("0-1-0-"&amp;I16,Data!$W:$X,2,FALSE),"")</f>
        <v>CRITICAL-1a</v>
      </c>
      <c r="G16" s="1292" t="str">
        <f ca="1">IFERROR("("&amp;VLOOKUP("0-1-0-"&amp;I16,Data!$W:$X,2,FALSE)&amp;") "&amp;IF(VLOOKUP(F16,Languages!$A:$D,1,TRUE)=F16,VLOOKUP(F16,Languages!$A:$D,Summary!$C$7,TRUE),NA()),"")</f>
        <v>(CRITICAL-1a) Organisaation tuottamat yhteiskunnalle kriittiset palvelut on tunnistettu ja dokumentoitu.</v>
      </c>
      <c r="H16" s="1292"/>
      <c r="I16" s="58">
        <v>18</v>
      </c>
      <c r="J16" s="31"/>
      <c r="K16" s="26"/>
      <c r="L16" s="45"/>
      <c r="M16" s="77"/>
      <c r="N16" s="77"/>
      <c r="O16" s="77"/>
    </row>
    <row r="17" spans="1:15" s="17" customFormat="1" ht="49.95" customHeight="1" x14ac:dyDescent="0.25">
      <c r="A17" s="26"/>
      <c r="B17" s="59">
        <v>19</v>
      </c>
      <c r="C17" s="60" t="str">
        <f ca="1">_xlfn.IFNA(VLOOKUP("0-1-0-"&amp;B17,Data!$W:$X,2,FALSE),"")</f>
        <v>CRITICAL-1b</v>
      </c>
      <c r="D17" s="1292" t="str">
        <f ca="1">IFERROR("("&amp;VLOOKUP("0-1-0-"&amp;B17,Data!$W:$X,2,FALSE)&amp;") "&amp;IF(VLOOKUP(C17,Languages!$A:$D,1,TRUE)=C17,VLOOKUP(C17,Languages!$A:$D,Summary!$C$7,TRUE),NA()),"")</f>
        <v>(CRITICAL-1b) (Yhteiskunnalle kriittisten) palveluiden tuottamiseen tarvittava data on tunnistettu ja dokumentoitu.</v>
      </c>
      <c r="E17" s="1292"/>
      <c r="F17" s="440" t="str">
        <f ca="1">_xlfn.IFNA(VLOOKUP("0-1-0-"&amp;I17,Data!$W:$X,2,FALSE),"")</f>
        <v>CRITICAL-1c</v>
      </c>
      <c r="G17" s="1292" t="str">
        <f ca="1">IFERROR("("&amp;VLOOKUP("0-1-0-"&amp;I17,Data!$W:$X,2,FALSE)&amp;") "&amp;IF(VLOOKUP(F17,Languages!$A:$D,1,TRUE)=F17,VLOOKUP(F17,Languages!$A:$D,Summary!$C$7,TRUE),NA()),"")</f>
        <v>(CRITICAL-1c) Palveluiden tuottamiseen tarvittavat prosessit on tunnistettu ja dokumentoitu.</v>
      </c>
      <c r="H17" s="1292"/>
      <c r="I17" s="58">
        <v>20</v>
      </c>
      <c r="J17" s="31"/>
      <c r="K17" s="26"/>
      <c r="L17" s="45"/>
      <c r="M17" s="77"/>
      <c r="N17" s="77"/>
      <c r="O17" s="77"/>
    </row>
    <row r="18" spans="1:15" s="17" customFormat="1" ht="49.95" customHeight="1" x14ac:dyDescent="0.25">
      <c r="A18" s="26"/>
      <c r="B18" s="59">
        <v>21</v>
      </c>
      <c r="C18" s="60" t="str">
        <f ca="1">_xlfn.IFNA(VLOOKUP("0-1-0-"&amp;B18,Data!$W:$X,2,FALSE),"")</f>
        <v>CRITICAL-1d</v>
      </c>
      <c r="D18" s="1292" t="str">
        <f ca="1">IFERROR("("&amp;VLOOKUP("0-1-0-"&amp;B18,Data!$W:$X,2,FALSE)&amp;") "&amp;IF(VLOOKUP(C18,Languages!$A:$D,1,TRUE)=C18,VLOOKUP(C18,Languages!$A:$D,Summary!$C$7,TRUE),NA()),"")</f>
        <v>(CRITICAL-1d) Palveluiden tuottamiseen tarvittavat järjestelmät (IT- ja OT-omaisuus) on tunnistettu ja dokumentoitu.</v>
      </c>
      <c r="E18" s="1292"/>
      <c r="F18" s="440" t="str">
        <f ca="1">_xlfn.IFNA(VLOOKUP("0-1-0-"&amp;I18,Data!$W:$X,2,FALSE),"")</f>
        <v>CRITICAL-2a</v>
      </c>
      <c r="G18" s="1292" t="str">
        <f ca="1">IFERROR("("&amp;VLOOKUP("0-1-0-"&amp;I18,Data!$W:$X,2,FALSE)&amp;") "&amp;IF(VLOOKUP(F18,Languages!$A:$D,1,TRUE)=F18,VLOOKUP(F18,Languages!$A:$D,Summary!$C$7,TRUE),NA()),"")</f>
        <v>(CRITICAL-2a) Kaikki resurssit (data, prosessit, järjestelmät, tilat ja toimitusketjut), joita tarvitaan (yhteiskunnalle kriittisten) palveluiden tuottamiseen, ovat organisaation turvallisuuden hallinnan politiikkojen ja prosessien piirissä.</v>
      </c>
      <c r="H18" s="1292"/>
      <c r="I18" s="58">
        <v>22</v>
      </c>
      <c r="J18" s="31"/>
      <c r="K18" s="26"/>
      <c r="L18" s="45"/>
      <c r="M18" s="77"/>
      <c r="N18" s="77"/>
      <c r="O18" s="77"/>
    </row>
    <row r="19" spans="1:15" s="17" customFormat="1" ht="49.95" customHeight="1" x14ac:dyDescent="0.25">
      <c r="A19" s="26"/>
      <c r="B19" s="59">
        <v>23</v>
      </c>
      <c r="C19" s="60" t="str">
        <f ca="1">_xlfn.IFNA(VLOOKUP("0-1-0-"&amp;B19,Data!$W:$X,2,FALSE),"")</f>
        <v>CRITICAL-2b</v>
      </c>
      <c r="D19" s="1292" t="str">
        <f ca="1">IFERROR("("&amp;VLOOKUP("0-1-0-"&amp;B19,Data!$W:$X,2,FALSE)&amp;") "&amp;IF(VLOOKUP(C19,Languages!$A:$D,1,TRUE)=C19,VLOOKUP(C19,Languages!$A:$D,Summary!$C$7,TRUE),NA()),"")</f>
        <v>(CRITICAL-2b) Kaikki resurssit (data, prosessit, järjestelmät, tilat ja toimitusketjut), joita tarvitaan yhteiskunnallisesti kriittisten palvelujen tuottamiseen, ovat organisaation riskienhallinnan politiikkojen ja prosessien piirissä.</v>
      </c>
      <c r="E19" s="1292"/>
      <c r="F19" s="440" t="str">
        <f ca="1">_xlfn.IFNA(VLOOKUP("0-1-0-"&amp;I19,Data!$W:$X,2,FALSE),"")</f>
        <v>CRITICAL-3a</v>
      </c>
      <c r="G19" s="1292" t="str">
        <f ca="1">IFERROR("("&amp;VLOOKUP("0-1-0-"&amp;I19,Data!$W:$X,2,FALSE)&amp;") "&amp;IF(VLOOKUP(F19,Languages!$A:$D,1,TRUE)=F19,VLOOKUP(F19,Languages!$A:$D,Summary!$C$7,TRUE),NA()),"")</f>
        <v>(CRITICAL-3a) Organisaatiolla on kybertapahtumien ja -häiriöiden hallintasuunnitelma, joka kattaa kaikki (organisaation tuottamat yhteiskunnalle kriittiset) palvelut.</v>
      </c>
      <c r="H19" s="1292"/>
      <c r="I19" s="58">
        <v>24</v>
      </c>
      <c r="J19" s="31"/>
      <c r="K19" s="26"/>
      <c r="L19" s="45"/>
      <c r="M19" s="77"/>
      <c r="N19" s="77"/>
      <c r="O19" s="77"/>
    </row>
    <row r="20" spans="1:15" s="17" customFormat="1" ht="49.95" customHeight="1" x14ac:dyDescent="0.25">
      <c r="A20" s="26"/>
      <c r="B20" s="59">
        <v>25</v>
      </c>
      <c r="C20" s="60" t="str">
        <f ca="1">_xlfn.IFNA(VLOOKUP("0-1-0-"&amp;B20,Data!$W:$X,2,FALSE),"")</f>
        <v>CRITICAL-3b</v>
      </c>
      <c r="D20" s="1292" t="str">
        <f ca="1">IFERROR("("&amp;VLOOKUP("0-1-0-"&amp;B20,Data!$W:$X,2,FALSE)&amp;") "&amp;IF(VLOOKUP(C20,Languages!$A:$D,1,TRUE)=C20,VLOOKUP(C20,Languages!$A:$D,Summary!$C$7,TRUE),NA()),"")</f>
        <v>(CRITICAL-3b) Hallintasuunnitelma rajoittuu tunnettuihin hyökkäyksiin, mutta kattaa perusteellisesti näiden hyökkäysten todennäköiset vaikutukset.</v>
      </c>
      <c r="E20" s="1292"/>
      <c r="F20" s="440" t="str">
        <f ca="1">_xlfn.IFNA(VLOOKUP("0-1-0-"&amp;I20,Data!$W:$X,2,FALSE),"")</f>
        <v>CRITICAL-3c</v>
      </c>
      <c r="G20" s="1292" t="str">
        <f ca="1">IFERROR("("&amp;VLOOKUP("0-1-0-"&amp;I20,Data!$W:$X,2,FALSE)&amp;") "&amp;IF(VLOOKUP(F20,Languages!$A:$D,1,TRUE)=F20,VLOOKUP(F20,Languages!$A:$D,Summary!$C$7,TRUE),NA()),"")</f>
        <v>(CRITICAL-3c) Kybertapahtumien ja -häiriöiden hallintaan osallistuva henkilöstö on sisäistänyt ja ymmärtää hallintasuunnitelman hyvin.</v>
      </c>
      <c r="H20" s="1292"/>
      <c r="I20" s="58">
        <v>26</v>
      </c>
      <c r="J20" s="31"/>
      <c r="K20" s="26"/>
      <c r="L20" s="42"/>
      <c r="M20" s="80"/>
      <c r="N20" s="80"/>
      <c r="O20" s="80"/>
    </row>
    <row r="21" spans="1:15" s="17" customFormat="1" ht="49.95" customHeight="1" x14ac:dyDescent="0.25">
      <c r="A21" s="26"/>
      <c r="B21" s="59">
        <v>27</v>
      </c>
      <c r="C21" s="60" t="str">
        <f ca="1">_xlfn.IFNA(VLOOKUP("0-1-0-"&amp;B21,Data!$W:$X,2,FALSE),"")</f>
        <v>CRITICAL-3d</v>
      </c>
      <c r="D21" s="1292" t="str">
        <f ca="1">IFERROR("("&amp;VLOOKUP("0-1-0-"&amp;B21,Data!$W:$X,2,FALSE)&amp;") "&amp;IF(VLOOKUP(C21,Languages!$A:$D,1,TRUE)=C21,VLOOKUP(C21,Languages!$A:$D,Summary!$C$7,TRUE),NA()),"")</f>
        <v>(CRITICAL-3d) Hallintasuunnitelma on dokumentoitu ja se jaetaan kaikille relevanteille sidosryhmille.</v>
      </c>
      <c r="E21" s="1292"/>
      <c r="F21" s="440" t="str">
        <f ca="1">_xlfn.IFNA(VLOOKUP("0-1-0-"&amp;I21,Data!$W:$X,2,FALSE),"")</f>
        <v>PROGRAM-1a</v>
      </c>
      <c r="G21" s="1292" t="str">
        <f ca="1">IFERROR("("&amp;VLOOKUP("0-1-0-"&amp;I21,Data!$W:$X,2,FALSE)&amp;") "&amp;IF(VLOOKUP(F21,Languages!$A:$D,1,TRUE)=F21,VLOOKUP(F21,Languages!$A:$D,Summary!$C$7,TRUE),NA()),"")</f>
        <v>(PROGRAM-1a) Organisaatiolla on kyberturvallisuusstrategia. Tasolla 1 sen kehittämisen ja ylläpidon ei tarvitse olla systemaattista ja säännöllistä.</v>
      </c>
      <c r="H21" s="1292"/>
      <c r="I21" s="58">
        <v>28</v>
      </c>
      <c r="J21" s="31"/>
      <c r="K21" s="26"/>
      <c r="L21" s="42"/>
      <c r="M21" s="80"/>
      <c r="N21" s="80"/>
      <c r="O21" s="80"/>
    </row>
    <row r="22" spans="1:15" s="17" customFormat="1" ht="49.95" customHeight="1" x14ac:dyDescent="0.25">
      <c r="A22" s="26"/>
      <c r="B22" s="59">
        <v>29</v>
      </c>
      <c r="C22" s="60" t="str">
        <f ca="1">_xlfn.IFNA(VLOOKUP("0-1-0-"&amp;B22,Data!$W:$X,2,FALSE),"")</f>
        <v>PROGRAM-2a</v>
      </c>
      <c r="D22" s="1292" t="str">
        <f ca="1">IFERROR("("&amp;VLOOKUP("0-1-0-"&amp;B22,Data!$W:$X,2,FALSE)&amp;") "&amp;IF(VLOOKUP(C22,Languages!$A:$D,1,TRUE)=C22,VLOOKUP(C22,Languages!$A:$D,Summary!$C$7,TRUE),NA()),"")</f>
        <v>(PROGRAM-2a) Resurssit (henkilöt, rahoitus ja työkalut) on osoitettu kyberturvallisuuden hallinnan perustamiseen. Tasolla 1 tämän ei tarvitse olla systemaattista ja säännöllistä.</v>
      </c>
      <c r="E22" s="1292"/>
      <c r="F22" s="440" t="str">
        <f ca="1">_xlfn.IFNA(VLOOKUP("0-1-0-"&amp;I22,Data!$W:$X,2,FALSE),"")</f>
        <v>PROGRAM-2b</v>
      </c>
      <c r="G22" s="1292" t="str">
        <f ca="1">IFERROR("("&amp;VLOOKUP("0-1-0-"&amp;I22,Data!$W:$X,2,FALSE)&amp;") "&amp;IF(VLOOKUP(F22,Languages!$A:$D,1,TRUE)=F22,VLOOKUP(F22,Languages!$A:$D,Summary!$C$7,TRUE),NA()),"")</f>
        <v>(PROGRAM-2b) Organisaation ylin johto tukee kyberturvallisuuden hallintaa. Tasolla 1 tämän ei tarvitse olla systemaattista ja säännöllistä.</v>
      </c>
      <c r="H22" s="1292"/>
      <c r="I22" s="58">
        <v>30</v>
      </c>
      <c r="J22" s="31"/>
      <c r="K22" s="26"/>
      <c r="L22" s="46"/>
      <c r="M22" s="77"/>
      <c r="N22" s="77"/>
      <c r="O22" s="77"/>
    </row>
    <row r="23" spans="1:15" s="17" customFormat="1" ht="49.95" customHeight="1" x14ac:dyDescent="0.25">
      <c r="A23" s="26"/>
      <c r="B23" s="59">
        <v>31</v>
      </c>
      <c r="C23" s="60" t="str">
        <f ca="1">_xlfn.IFNA(VLOOKUP("0-1-0-"&amp;B23,Data!$W:$X,2,FALSE),"")</f>
        <v>RESPONSE-1a</v>
      </c>
      <c r="D23" s="1292" t="str">
        <f ca="1">IFERROR("("&amp;VLOOKUP("0-1-0-"&amp;B23,Data!$W:$X,2,FALSE)&amp;") "&amp;IF(VLOOKUP(C23,Languages!$A:$D,1,TRUE)=C23,VLOOKUP(C23,Languages!$A:$D,Summary!$C$7,TRUE),NA()),"")</f>
        <v>(RESPONSE-1a) Havaitut kybertapahtumat raportoidaan ennalta määritellyille henkilöille tai roolien haltijoille ja niistä pidetään lokia. Tasolla 1 tämän ei tarvitse olla systemaattista ja säännöllistä.</v>
      </c>
      <c r="E23" s="1292"/>
      <c r="F23" s="440" t="str">
        <f ca="1">_xlfn.IFNA(VLOOKUP("0-1-0-"&amp;I23,Data!$W:$X,2,FALSE),"")</f>
        <v>RESPONSE-2a</v>
      </c>
      <c r="G23" s="1292" t="str">
        <f ca="1">IFERROR("("&amp;VLOOKUP("0-1-0-"&amp;I23,Data!$W:$X,2,FALSE)&amp;") "&amp;IF(VLOOKUP(F23,Languages!$A:$D,1,TRUE)=F23,VLOOKUP(F23,Languages!$A:$D,Summary!$C$7,TRUE),NA()),"")</f>
        <v>(RESPONSE-2a) Kyberhäiriöiden määrittämisestä on laadittu kriteeristö. Tasolla 1 tämän ei tarvitse olla systemaattista ja säännöllistä.</v>
      </c>
      <c r="H23" s="1292"/>
      <c r="I23" s="58">
        <v>32</v>
      </c>
      <c r="J23" s="31"/>
      <c r="K23" s="26"/>
      <c r="L23" s="46"/>
      <c r="M23" s="77"/>
      <c r="N23" s="77"/>
      <c r="O23" s="77"/>
    </row>
    <row r="24" spans="1:15" s="17" customFormat="1" ht="49.95" customHeight="1" x14ac:dyDescent="0.25">
      <c r="A24" s="26"/>
      <c r="B24" s="59">
        <v>33</v>
      </c>
      <c r="C24" s="60" t="str">
        <f ca="1">_xlfn.IFNA(VLOOKUP("0-1-0-"&amp;B24,Data!$W:$X,2,FALSE),"")</f>
        <v>RESPONSE-2b</v>
      </c>
      <c r="D24" s="1292" t="str">
        <f ca="1">IFERROR("("&amp;VLOOKUP("0-1-0-"&amp;B24,Data!$W:$X,2,FALSE)&amp;") "&amp;IF(VLOOKUP(C24,Languages!$A:$D,1,TRUE)=C24,VLOOKUP(C24,Languages!$A:$D,Summary!$C$7,TRUE),NA()),"")</f>
        <v>(RESPONSE-2b) Kybertapahtumat analysoidaan siten, että se tukee mahdollisten kyberhäiriöiden määrittämistä. Tasolla 1 tämän ei tarvitse olla systemaattista ja säännöllistä.</v>
      </c>
      <c r="E24" s="1292"/>
      <c r="F24" s="440" t="str">
        <f ca="1">_xlfn.IFNA(VLOOKUP("0-1-0-"&amp;I24,Data!$W:$X,2,FALSE),"")</f>
        <v>RESPONSE-3a</v>
      </c>
      <c r="G24" s="1292" t="str">
        <f ca="1">IFERROR("("&amp;VLOOKUP("0-1-0-"&amp;I24,Data!$W:$X,2,FALSE)&amp;") "&amp;IF(VLOOKUP(F24,Languages!$A:$D,1,TRUE)=F24,VLOOKUP(F24,Languages!$A:$D,Summary!$C$7,TRUE),NA()),"")</f>
        <v>(RESPONSE-3a) Kybertapahtumiin ja -häiriöihin reagoimista varten on tunnistettu soveltuvat työntekijät ja osoitettu heille heidän roolinsa. Tasolla 1 tämän ei tarvitse olla systemaattista ja säännöllistä.</v>
      </c>
      <c r="H24" s="1292"/>
      <c r="I24" s="58">
        <v>34</v>
      </c>
      <c r="J24" s="31"/>
      <c r="K24" s="26"/>
      <c r="L24" s="46"/>
      <c r="M24" s="77"/>
      <c r="N24" s="77"/>
      <c r="O24" s="77"/>
    </row>
    <row r="25" spans="1:15" s="17" customFormat="1" ht="49.95" customHeight="1" x14ac:dyDescent="0.25">
      <c r="A25" s="26"/>
      <c r="B25" s="59">
        <v>35</v>
      </c>
      <c r="C25" s="60" t="str">
        <f ca="1">_xlfn.IFNA(VLOOKUP("0-1-0-"&amp;B25,Data!$W:$X,2,FALSE),"")</f>
        <v>RESPONSE-3b</v>
      </c>
      <c r="D25" s="1292" t="str">
        <f ca="1">IFERROR("("&amp;VLOOKUP("0-1-0-"&amp;B25,Data!$W:$X,2,FALSE)&amp;") "&amp;IF(VLOOKUP(C25,Languages!$A:$D,1,TRUE)=C25,VLOOKUP(C25,Languages!$A:$D,Summary!$C$7,TRUE),NA()),"")</f>
        <v>(RESPONSE-3b) Kybertapahtumiin- ja häiriöihin reagoidaan siten, että rajoitetaan toimintoon kohdistuvaa vaikutusta ja palautetaan toiminta normaaliksi. Tasolla 1 tämän ei tarvitse olla systemaattista ja säännöllistä.</v>
      </c>
      <c r="E25" s="1292"/>
      <c r="F25" s="440" t="str">
        <f ca="1">_xlfn.IFNA(VLOOKUP("0-1-0-"&amp;I25,Data!$W:$X,2,FALSE),"")</f>
        <v>RESPONSE-3c</v>
      </c>
      <c r="G25" s="1292" t="str">
        <f ca="1">IFERROR("("&amp;VLOOKUP("0-1-0-"&amp;I25,Data!$W:$X,2,FALSE)&amp;") "&amp;IF(VLOOKUP(F25,Languages!$A:$D,1,TRUE)=F25,VLOOKUP(F25,Languages!$A:$D,Summary!$C$7,TRUE),NA()),"")</f>
        <v>(RESPONSE-3c) Kyberhäiriöistä tuotetaan raportointia (esimerkiksi sisäisesti, CERT-FI tai soveltuville ISAC-ryhmille). Tasolla 1 tämän ei tarvitse olla systemaattista ja säännöllistä.</v>
      </c>
      <c r="H25" s="1292"/>
      <c r="I25" s="58">
        <v>36</v>
      </c>
      <c r="J25" s="31"/>
      <c r="K25" s="26"/>
      <c r="L25" s="46"/>
      <c r="M25" s="77"/>
      <c r="N25" s="77"/>
      <c r="O25" s="77"/>
    </row>
    <row r="26" spans="1:15" s="17" customFormat="1" ht="49.95" customHeight="1" x14ac:dyDescent="0.25">
      <c r="A26" s="26"/>
      <c r="B26" s="59">
        <v>37</v>
      </c>
      <c r="C26" s="60" t="str">
        <f ca="1">_xlfn.IFNA(VLOOKUP("0-1-0-"&amp;B26,Data!$W:$X,2,FALSE),"")</f>
        <v>RESPONSE-4a</v>
      </c>
      <c r="D26" s="1292" t="str">
        <f ca="1">IFERROR("("&amp;VLOOKUP("0-1-0-"&amp;B26,Data!$W:$X,2,FALSE)&amp;") "&amp;IF(VLOOKUP(C26,Languages!$A:$D,1,TRUE)=C26,VLOOKUP(C26,Languages!$A:$D,Summary!$C$7,TRUE),NA()),"")</f>
        <v>(RESPONSE-4a) Organisaatio on kehittänyt toiminnan jatkuvuutta koskevat suunnitelmat, joiden avulla toiminnon toiminta voidaan säilyttää ja palauttaa, mikäli toimintaan kohdistuu kybertapahtuma tai -häiriö. Tasolla 1 tämän ei tarvitse olla systemaattista ja säännöllistä.</v>
      </c>
      <c r="E26" s="1292"/>
      <c r="F26" s="440" t="str">
        <f ca="1">_xlfn.IFNA(VLOOKUP("0-1-0-"&amp;I26,Data!$W:$X,2,FALSE),"")</f>
        <v>RESPONSE-4b</v>
      </c>
      <c r="G26" s="1292" t="str">
        <f ca="1">IFERROR("("&amp;VLOOKUP("0-1-0-"&amp;I26,Data!$W:$X,2,FALSE)&amp;") "&amp;IF(VLOOKUP(F26,Languages!$A:$D,1,TRUE)=F26,VLOOKUP(F26,Languages!$A:$D,Summary!$C$7,TRUE),NA()),"")</f>
        <v>(RESPONSE-4b) Tiedoista on saatavilla varmuuskopiot, joita testaan. Tasolla 1 tämän ei tarvitse olla systemaattista ja säännöllistä.</v>
      </c>
      <c r="H26" s="1292"/>
      <c r="I26" s="58">
        <v>38</v>
      </c>
      <c r="J26" s="31"/>
      <c r="K26" s="26"/>
      <c r="L26" s="46"/>
      <c r="M26" s="77"/>
      <c r="N26" s="77"/>
      <c r="O26" s="77"/>
    </row>
    <row r="27" spans="1:15" s="17" customFormat="1" ht="49.95" customHeight="1" x14ac:dyDescent="0.25">
      <c r="A27" s="26"/>
      <c r="B27" s="59">
        <v>39</v>
      </c>
      <c r="C27" s="60" t="str">
        <f ca="1">_xlfn.IFNA(VLOOKUP("0-1-0-"&amp;B27,Data!$W:$X,2,FALSE),"")</f>
        <v>RESPONSE-4c</v>
      </c>
      <c r="D27" s="1292" t="str">
        <f ca="1">IFERROR("("&amp;VLOOKUP("0-1-0-"&amp;B27,Data!$W:$X,2,FALSE)&amp;") "&amp;IF(VLOOKUP(C27,Languages!$A:$D,1,TRUE)=C27,VLOOKUP(C27,Languages!$A:$D,Summary!$C$7,TRUE),NA()),"")</f>
        <v>(RESPONSE-4c) Varaosia tarvitsevat IT-laitteet (ja mahdolliset OT-laitteet) on tunnistettu. Tasolla 1 tämän ei tarvitse olla systemaattista ja säännöllistä.</v>
      </c>
      <c r="E27" s="1292"/>
      <c r="F27" s="440" t="str">
        <f ca="1">_xlfn.IFNA(VLOOKUP("0-1-0-"&amp;I27,Data!$W:$X,2,FALSE),"")</f>
        <v>RISK-1a</v>
      </c>
      <c r="G27" s="1292" t="str">
        <f ca="1">IFERROR("("&amp;VLOOKUP("0-1-0-"&amp;I27,Data!$W:$X,2,FALSE)&amp;") "&amp;IF(VLOOKUP(F27,Languages!$A:$D,1,TRUE)=F27,VLOOKUP(F27,Languages!$A:$D,Summary!$C$7,TRUE),NA()),"")</f>
        <v>(RISK-1a) Organisaation kyberriskienhallintaa ohjaa suunnitelma (esimerkiksi strategia tai vastaava johtotason politiikka). Tasolla 1 sen kehittämisen ja ylläpidon ei tarvitse olla systemaattista ja säännöllistä.</v>
      </c>
      <c r="H27" s="1292"/>
      <c r="I27" s="58">
        <v>40</v>
      </c>
      <c r="J27" s="31"/>
      <c r="K27" s="26"/>
      <c r="L27" s="46"/>
      <c r="M27" s="77"/>
      <c r="N27" s="77"/>
      <c r="O27" s="77"/>
    </row>
    <row r="28" spans="1:15" s="17" customFormat="1" ht="49.95" customHeight="1" x14ac:dyDescent="0.25">
      <c r="A28" s="26"/>
      <c r="B28" s="59">
        <v>41</v>
      </c>
      <c r="C28" s="60" t="str">
        <f ca="1">_xlfn.IFNA(VLOOKUP("0-1-0-"&amp;B28,Data!$W:$X,2,FALSE),"")</f>
        <v>RISK-2a</v>
      </c>
      <c r="D28" s="1292" t="str">
        <f ca="1">IFERROR("("&amp;VLOOKUP("0-1-0-"&amp;B28,Data!$W:$X,2,FALSE)&amp;") "&amp;IF(VLOOKUP(C28,Languages!$A:$D,1,TRUE)=C28,VLOOKUP(C28,Languages!$A:$D,Summary!$C$7,TRUE),NA()),"")</f>
        <v>(RISK-2a) Kyberriskejä tunnistetaan. Tasolla 1 tämän ei tarvitse olla systemaattista ja säännöllistä.</v>
      </c>
      <c r="E28" s="1292"/>
      <c r="F28" s="440" t="str">
        <f ca="1">_xlfn.IFNA(VLOOKUP("0-1-0-"&amp;I28,Data!$W:$X,2,FALSE),"")</f>
        <v>RISK-3a</v>
      </c>
      <c r="G28" s="1292" t="str">
        <f ca="1">IFERROR("("&amp;VLOOKUP("0-1-0-"&amp;I28,Data!$W:$X,2,FALSE)&amp;") "&amp;IF(VLOOKUP(F28,Languages!$A:$D,1,TRUE)=F28,VLOOKUP(F28,Languages!$A:$D,Summary!$C$7,TRUE),NA()),"")</f>
        <v>(RISK-3a) Kyberriskit priorisoidaan niiden arvioidun vaikutuksen perusteella. Tasolla 1 tämän ei tarvitse olla systemaattista ja säännöllistä.</v>
      </c>
      <c r="H28" s="1292"/>
      <c r="I28" s="58">
        <v>42</v>
      </c>
      <c r="J28" s="31"/>
      <c r="K28" s="26"/>
      <c r="L28" s="46"/>
      <c r="M28" s="77"/>
      <c r="N28" s="77"/>
      <c r="O28" s="77"/>
    </row>
    <row r="29" spans="1:15" s="17" customFormat="1" ht="49.95" customHeight="1" x14ac:dyDescent="0.25">
      <c r="A29" s="26"/>
      <c r="B29" s="59">
        <v>43</v>
      </c>
      <c r="C29" s="60" t="str">
        <f ca="1">_xlfn.IFNA(VLOOKUP("0-1-0-"&amp;B29,Data!$W:$X,2,FALSE),"")</f>
        <v>RISK-4a</v>
      </c>
      <c r="D29" s="1292" t="str">
        <f ca="1">IFERROR("("&amp;VLOOKUP("0-1-0-"&amp;B29,Data!$W:$X,2,FALSE)&amp;") "&amp;IF(VLOOKUP(C29,Languages!$A:$D,1,TRUE)=C29,VLOOKUP(C29,Languages!$A:$D,Summary!$C$7,TRUE),NA()),"")</f>
        <v>(RISK-4a) Riskeihin reagointikeinot (kuten riskin pienentäminen, hyväksyminen, välttäminen tai siirtäminen) ovat käytössä kyberriskeille ja kyberriskikategorioille. Tasolla 1 tämän ei tarvitse olla systemaattista ja säännöllistä.</v>
      </c>
      <c r="E29" s="1292"/>
      <c r="F29" s="440" t="str">
        <f ca="1">_xlfn.IFNA(VLOOKUP("0-1-0-"&amp;I29,Data!$W:$X,2,FALSE),"")</f>
        <v>SITUATION-1a</v>
      </c>
      <c r="G29" s="1292" t="str">
        <f ca="1">IFERROR("("&amp;VLOOKUP("0-1-0-"&amp;I29,Data!$W:$X,2,FALSE)&amp;") "&amp;IF(VLOOKUP(F29,Languages!$A:$D,1,TRUE)=F29,VLOOKUP(F29,Languages!$A:$D,Summary!$C$7,TRUE),NA()),"")</f>
        <v>(SITUATION-1a) Lokitietoa kerätään toiminnon kannalta tärkeistä laitteista, ohjelmistoista ja tietovarannoista [kts. ASSET-1a, ASSET-2a]. Tasolla 1 tämän ei tarvitse olla systemaattista ja säännöllistä.</v>
      </c>
      <c r="H29" s="1292"/>
      <c r="I29" s="58">
        <v>44</v>
      </c>
      <c r="J29" s="31"/>
      <c r="K29" s="26"/>
      <c r="L29" s="46"/>
      <c r="M29" s="77"/>
      <c r="N29" s="77"/>
      <c r="O29" s="77"/>
    </row>
    <row r="30" spans="1:15" s="17" customFormat="1" ht="49.95" customHeight="1" x14ac:dyDescent="0.25">
      <c r="A30" s="26"/>
      <c r="B30" s="59">
        <v>45</v>
      </c>
      <c r="C30" s="60" t="str">
        <f ca="1">_xlfn.IFNA(VLOOKUP("0-1-0-"&amp;B30,Data!$W:$X,2,FALSE),"")</f>
        <v>SITUATION-2a</v>
      </c>
      <c r="D30" s="1292" t="str">
        <f ca="1">IFERROR("("&amp;VLOOKUP("0-1-0-"&amp;B30,Data!$W:$X,2,FALSE)&amp;") "&amp;IF(VLOOKUP(C30,Languages!$A:$D,1,TRUE)=C30,VLOOKUP(C30,Languages!$A:$D,Summary!$C$7,TRUE),NA()),"")</f>
        <v>(SITUATION-2a) Lokitietojen tarkastelua ja muuta kyberturvallisuusvalvontaa tehdään. Tasolla 1 tämän ei tarvitse olla systemaattista ja säännöllistä.</v>
      </c>
      <c r="E30" s="1292"/>
      <c r="F30" s="440" t="str">
        <f ca="1">_xlfn.IFNA(VLOOKUP("0-1-0-"&amp;I30,Data!$W:$X,2,FALSE),"")</f>
        <v>SITUATION-2b</v>
      </c>
      <c r="G30" s="1292" t="str">
        <f ca="1">IFERROR("("&amp;VLOOKUP("0-1-0-"&amp;I30,Data!$W:$X,2,FALSE)&amp;") "&amp;IF(VLOOKUP(F30,Languages!$A:$D,1,TRUE)=F30,VLOOKUP(F30,Languages!$A:$D,Summary!$C$7,TRUE),NA()),"")</f>
        <v>(SITUATION-2b) IT-ympäristöjä (ja mahdollisia OT-ympäristöjä) valvotaan poikkeavan toiminnan ja mahdollisten kybertapahtumien varalta. Tasolla 1 tämän ei tarvitse olla systemaattista ja säännöllistä.</v>
      </c>
      <c r="H30" s="1292"/>
      <c r="I30" s="58">
        <v>46</v>
      </c>
      <c r="J30" s="31"/>
      <c r="K30" s="26"/>
      <c r="L30" s="46"/>
      <c r="M30" s="77"/>
      <c r="N30" s="77"/>
      <c r="O30" s="77"/>
    </row>
    <row r="31" spans="1:15" s="17" customFormat="1" ht="49.95" customHeight="1" x14ac:dyDescent="0.25">
      <c r="A31" s="26"/>
      <c r="B31" s="59">
        <v>47</v>
      </c>
      <c r="C31" s="60" t="str">
        <f ca="1">_xlfn.IFNA(VLOOKUP("0-1-0-"&amp;B31,Data!$W:$X,2,FALSE),"")</f>
        <v>THIRDPARTY-1a</v>
      </c>
      <c r="D31" s="1292" t="str">
        <f ca="1">IFERROR("("&amp;VLOOKUP("0-1-0-"&amp;B31,Data!$W:$X,2,FALSE)&amp;") "&amp;IF(VLOOKUP(C31,Languages!$A:$D,1,TRUE)=C31,VLOOKUP(C31,Languages!$A:$D,Summary!$C$7,TRUE),NA()),"")</f>
        <v>(THIRDPARTY-1a) Merkittävät kumppaniverkoston IT-riippuvuudet (ja mahdolliset OT-riippuvuudet) on tunnistettu (tällä tarkoitetaan sellaisia sisäisiä tai ulkoisia toimijoita, joista toiminto on riippuvainen - mukaan lukien toimintojen operoinnista vastaavat kumppanit). Tasolla 1 tämän ei tarvitse olla systemaattista ja säännöllistä.</v>
      </c>
      <c r="E31" s="1292"/>
      <c r="F31" s="440" t="str">
        <f ca="1">_xlfn.IFNA(VLOOKUP("0-1-0-"&amp;I31,Data!$W:$X,2,FALSE),"")</f>
        <v>THIRDPARTY-1b</v>
      </c>
      <c r="G31" s="1292" t="str">
        <f ca="1">IFERROR("("&amp;VLOOKUP("0-1-0-"&amp;I31,Data!$W:$X,2,FALSE)&amp;") "&amp;IF(VLOOKUP(F31,Languages!$A:$D,1,TRUE)=F31,VLOOKUP(F31,Languages!$A:$D,Summary!$C$7,TRUE),NA()),"")</f>
        <v>(THIRDPARTY-1b) Kumppaniverkoston toimijat, jotka omistavat, hallinnoivat tai pääsevät muutoin käyttämään toiminnon kannalta tärkeitä laitteita, ohjelmistoja tai tietovarantoja, on tunnistettu. Tasolla 1 tämän ei tarvitse olla systemaattista ja säännöllistä.</v>
      </c>
      <c r="H31" s="1292"/>
      <c r="I31" s="58">
        <v>48</v>
      </c>
      <c r="J31" s="31"/>
      <c r="K31" s="26"/>
      <c r="L31" s="46"/>
      <c r="M31" s="77"/>
      <c r="N31" s="77"/>
      <c r="O31" s="77"/>
    </row>
    <row r="32" spans="1:15" s="17" customFormat="1" ht="49.95" customHeight="1" x14ac:dyDescent="0.25">
      <c r="A32" s="26"/>
      <c r="B32" s="59">
        <v>49</v>
      </c>
      <c r="C32" s="60" t="str">
        <f ca="1">_xlfn.IFNA(VLOOKUP("0-1-0-"&amp;B32,Data!$W:$X,2,FALSE),"")</f>
        <v>THIRDPARTY-2a</v>
      </c>
      <c r="D32" s="1292" t="str">
        <f ca="1">IFERROR("("&amp;VLOOKUP("0-1-0-"&amp;B32,Data!$W:$X,2,FALSE)&amp;") "&amp;IF(VLOOKUP(C32,Languages!$A:$D,1,TRUE)=C32,VLOOKUP(C32,Languages!$A:$D,Summary!$C$7,TRUE),NA()),"")</f>
        <v>(THIRDPARTY-2a) Toimittajien ja muiden kumppaniverkoston toimijoiden valintaan vaikuttaa arvio niiden kyberturvallisuuskelpoisuuksista. Tasolla 1 tämän ei tarvitse olla systemaattista ja säännöllistä.</v>
      </c>
      <c r="E32" s="1292"/>
      <c r="F32" s="440" t="str">
        <f ca="1">_xlfn.IFNA(VLOOKUP("0-1-0-"&amp;I32,Data!$W:$X,2,FALSE),"")</f>
        <v>THIRDPARTY-2b</v>
      </c>
      <c r="G32" s="1292" t="str">
        <f ca="1">IFERROR("("&amp;VLOOKUP("0-1-0-"&amp;I32,Data!$W:$X,2,FALSE)&amp;") "&amp;IF(VLOOKUP(F32,Languages!$A:$D,1,TRUE)=F32,VLOOKUP(F32,Languages!$A:$D,Summary!$C$7,TRUE),NA()),"")</f>
        <v>(THIRDPARTY-2b) Tuotteiden ja palveluiden valintaan vaikuttaa arvio niiden kyberkyvykkyyksistä. Tasolla 1 tämän ei tarvitse olla systemaattista ja säännöllistä.</v>
      </c>
      <c r="H32" s="1292"/>
      <c r="I32" s="58">
        <v>50</v>
      </c>
      <c r="J32" s="31"/>
      <c r="K32" s="26"/>
      <c r="L32" s="46"/>
      <c r="M32" s="77"/>
      <c r="N32" s="77"/>
      <c r="O32" s="77"/>
    </row>
    <row r="33" spans="1:15" s="17" customFormat="1" ht="49.95" customHeight="1" x14ac:dyDescent="0.25">
      <c r="A33" s="26"/>
      <c r="B33" s="59">
        <v>51</v>
      </c>
      <c r="C33" s="60" t="str">
        <f ca="1">_xlfn.IFNA(VLOOKUP("0-1-0-"&amp;B33,Data!$W:$X,2,FALSE),"")</f>
        <v>THREAT-1a</v>
      </c>
      <c r="D33" s="1292" t="str">
        <f ca="1">IFERROR("("&amp;VLOOKUP("0-1-0-"&amp;B33,Data!$W:$X,2,FALSE)&amp;") "&amp;IF(VLOOKUP(C33,Languages!$A:$D,1,TRUE)=C33,VLOOKUP(C33,Languages!$A:$D,Summary!$C$7,TRUE),NA()),"")</f>
        <v>(THREAT-1a) Haavoittuvuuksien tunnistamisen tueksi on tunnistettu soveltuvia tietolähteitä. Tasolla 1 tämän ei tarvitse olla systemaattista ja säännöllistä.</v>
      </c>
      <c r="E33" s="1292"/>
      <c r="F33" s="440" t="str">
        <f ca="1">_xlfn.IFNA(VLOOKUP("0-1-0-"&amp;I33,Data!$W:$X,2,FALSE),"")</f>
        <v>THREAT-1b</v>
      </c>
      <c r="G33" s="1292" t="str">
        <f ca="1">IFERROR("("&amp;VLOOKUP("0-1-0-"&amp;I33,Data!$W:$X,2,FALSE)&amp;") "&amp;IF(VLOOKUP(F33,Languages!$A:$D,1,TRUE)=F33,VLOOKUP(F33,Languages!$A:$D,Summary!$C$7,TRUE),NA()),"")</f>
        <v>(THREAT-1b) Haavoittuvuustietoa kerätään ja sitä tulkitaan toimintoa varten. Tasolla 1 tämän ei tarvitse olla systemaattista ja säännöllistä.</v>
      </c>
      <c r="H33" s="1292"/>
      <c r="I33" s="58">
        <v>52</v>
      </c>
      <c r="J33" s="31"/>
      <c r="K33" s="26"/>
      <c r="L33" s="46"/>
      <c r="M33" s="77"/>
      <c r="N33" s="77"/>
      <c r="O33" s="77"/>
    </row>
    <row r="34" spans="1:15" s="17" customFormat="1" ht="49.95" customHeight="1" x14ac:dyDescent="0.25">
      <c r="A34" s="26"/>
      <c r="B34" s="59">
        <v>53</v>
      </c>
      <c r="C34" s="60" t="str">
        <f ca="1">_xlfn.IFNA(VLOOKUP("0-1-0-"&amp;B34,Data!$W:$X,2,FALSE),"")</f>
        <v>THREAT-1c</v>
      </c>
      <c r="D34" s="1292" t="str">
        <f ca="1">IFERROR("("&amp;VLOOKUP("0-1-0-"&amp;B34,Data!$W:$X,2,FALSE)&amp;") "&amp;IF(VLOOKUP(C34,Languages!$A:$D,1,TRUE)=C34,VLOOKUP(C34,Languages!$A:$D,Summary!$C$7,TRUE),NA()),"")</f>
        <v>(THREAT-1c) Haavoittuvuusarviointeja suoritetaan. Tasolla 1 tämän ei tarvitse olla systemaattista ja säännöllistä.</v>
      </c>
      <c r="E34" s="1292"/>
      <c r="F34" s="440" t="str">
        <f ca="1">_xlfn.IFNA(VLOOKUP("0-1-0-"&amp;I34,Data!$W:$X,2,FALSE),"")</f>
        <v>THREAT-1d</v>
      </c>
      <c r="G34" s="1292" t="str">
        <f ca="1">IFERROR("("&amp;VLOOKUP("0-1-0-"&amp;I34,Data!$W:$X,2,FALSE)&amp;") "&amp;IF(VLOOKUP(F34,Languages!$A:$D,1,TRUE)=F34,VLOOKUP(F34,Languages!$A:$D,Summary!$C$7,TRUE),NA()),"")</f>
        <v>(THREAT-1d) Toiminnon kannalta olennaisiin haavoittuvuuksiin puututaan (esimerkiksi lisäämällä valvontaa tai asentamalla korjauspäivityksiä). Tasolla 1 tämän ei tarvitse olla systemaattista ja säännöllistä.</v>
      </c>
      <c r="H34" s="1292"/>
      <c r="I34" s="58">
        <v>54</v>
      </c>
      <c r="J34" s="31"/>
      <c r="K34" s="26"/>
      <c r="L34" s="46"/>
      <c r="M34" s="77"/>
      <c r="N34" s="77"/>
      <c r="O34" s="77"/>
    </row>
    <row r="35" spans="1:15" s="17" customFormat="1" ht="49.95" customHeight="1" x14ac:dyDescent="0.25">
      <c r="A35" s="26"/>
      <c r="B35" s="59">
        <v>55</v>
      </c>
      <c r="C35" s="60" t="str">
        <f ca="1">_xlfn.IFNA(VLOOKUP("0-1-0-"&amp;B35,Data!$W:$X,2,FALSE),"")</f>
        <v>THREAT-2a</v>
      </c>
      <c r="D35" s="1292" t="str">
        <f ca="1">IFERROR("("&amp;VLOOKUP("0-1-0-"&amp;B35,Data!$W:$X,2,FALSE)&amp;") "&amp;IF(VLOOKUP(C35,Languages!$A:$D,1,TRUE)=C35,VLOOKUP(C35,Languages!$A:$D,Summary!$C$7,TRUE),NA()),"")</f>
        <v>(THREAT-2a) Uhkien tunnistamisen tueksi on tunnistettu soveltuvia tietolähteitä. Tasolla 1 tämän ei tarvitse olla systemaattista ja säännöllistä.</v>
      </c>
      <c r="E35" s="1292"/>
      <c r="F35" s="440" t="str">
        <f ca="1">_xlfn.IFNA(VLOOKUP("0-1-0-"&amp;I35,Data!$W:$X,2,FALSE),"")</f>
        <v>THREAT-2b</v>
      </c>
      <c r="G35" s="1292" t="str">
        <f ca="1">IFERROR("("&amp;VLOOKUP("0-1-0-"&amp;I35,Data!$W:$X,2,FALSE)&amp;") "&amp;IF(VLOOKUP(F35,Languages!$A:$D,1,TRUE)=F35,VLOOKUP(F35,Languages!$A:$D,Summary!$C$7,TRUE),NA()),"")</f>
        <v>(THREAT-2b) Uhkatietoa kerätään ja sitä tulkitaan toimintoa varten. Tasolla 1 tämän ei tarvitse olla systemaattista ja säännöllistä.</v>
      </c>
      <c r="H35" s="1292"/>
      <c r="I35" s="58">
        <v>56</v>
      </c>
      <c r="J35" s="31"/>
      <c r="K35" s="26"/>
      <c r="L35" s="46"/>
      <c r="M35" s="77"/>
      <c r="N35" s="77"/>
      <c r="O35" s="77"/>
    </row>
    <row r="36" spans="1:15" s="17" customFormat="1" ht="49.95" customHeight="1" x14ac:dyDescent="0.25">
      <c r="A36" s="26"/>
      <c r="B36" s="59">
        <v>57</v>
      </c>
      <c r="C36" s="60" t="str">
        <f ca="1">_xlfn.IFNA(VLOOKUP("0-1-0-"&amp;B36,Data!$W:$X,2,FALSE),"")</f>
        <v>THREAT-2c</v>
      </c>
      <c r="D36" s="1292" t="str">
        <f ca="1">IFERROR("("&amp;VLOOKUP("0-1-0-"&amp;B36,Data!$W:$X,2,FALSE)&amp;") "&amp;IF(VLOOKUP(C36,Languages!$A:$D,1,TRUE)=C36,VLOOKUP(C36,Languages!$A:$D,Summary!$C$7,TRUE),NA()),"")</f>
        <v>(THREAT-2c) Toiminnon kannalta olennaisiin uhkiin puututaan (esimerkiksi lisäämällä valvontaa tai seuraamalla uhkien kehitystä). Tasolla 1 tämän ei tarvitse olla systemaattista ja säännöllistä.</v>
      </c>
      <c r="E36" s="1292"/>
      <c r="F36" s="440" t="str">
        <f ca="1">_xlfn.IFNA(VLOOKUP("0-1-0-"&amp;I36,Data!$W:$X,2,FALSE),"")</f>
        <v>WORKFORCE-1a</v>
      </c>
      <c r="G36" s="1292" t="str">
        <f ca="1">IFERROR("("&amp;VLOOKUP("0-1-0-"&amp;I36,Data!$W:$X,2,FALSE)&amp;") "&amp;IF(VLOOKUP(F36,Languages!$A:$D,1,TRUE)=F36,VLOOKUP(F36,Languages!$A:$D,Summary!$C$7,TRUE),NA()),"")</f>
        <v>(WORKFORCE-1a) Toiminnon kyberturvallisuuteen liittyvät vastuut on tunnistettu. Tasolla 1 tämän ei tarvitse olla systemaattista ja säännöllistä.</v>
      </c>
      <c r="H36" s="1292"/>
      <c r="I36" s="58">
        <v>58</v>
      </c>
      <c r="J36" s="31"/>
      <c r="K36" s="26"/>
      <c r="L36" s="46"/>
      <c r="M36" s="77"/>
      <c r="N36" s="77"/>
      <c r="O36" s="77"/>
    </row>
    <row r="37" spans="1:15" s="17" customFormat="1" ht="49.95" customHeight="1" x14ac:dyDescent="0.25">
      <c r="A37" s="26"/>
      <c r="B37" s="59">
        <v>59</v>
      </c>
      <c r="C37" s="60" t="str">
        <f ca="1">_xlfn.IFNA(VLOOKUP("0-1-0-"&amp;B37,Data!$W:$X,2,FALSE),"")</f>
        <v>WORKFORCE-1b</v>
      </c>
      <c r="D37" s="1292" t="str">
        <f ca="1">IFERROR("("&amp;VLOOKUP("0-1-0-"&amp;B37,Data!$W:$X,2,FALSE)&amp;") "&amp;IF(VLOOKUP(C37,Languages!$A:$D,1,TRUE)=C37,VLOOKUP(C37,Languages!$A:$D,Summary!$C$7,TRUE),NA()),"")</f>
        <v>(WORKFORCE-1b) Kyberturvallisuuteen liittyvät vastuut on osoitettu nimetyille henkilöille. Tasolla 1 tämän ei tarvitse olla systemaattista ja säännöllistä.</v>
      </c>
      <c r="E37" s="1292"/>
      <c r="F37" s="440" t="str">
        <f ca="1">_xlfn.IFNA(VLOOKUP("0-1-0-"&amp;I37,Data!$W:$X,2,FALSE),"")</f>
        <v>WORKFORCE-2a</v>
      </c>
      <c r="G37" s="1292" t="str">
        <f ca="1">IFERROR("("&amp;VLOOKUP("0-1-0-"&amp;I37,Data!$W:$X,2,FALSE)&amp;") "&amp;IF(VLOOKUP(F37,Languages!$A:$D,1,TRUE)=F37,VLOOKUP(F37,Languages!$A:$D,Summary!$C$7,TRUE),NA()),"")</f>
        <v>(WORKFORCE-2a) Kyberturvallisuuskoulutusta on saatavana sellaisille työntekijöille, joille on osoitettu kyberturvallisuuteen liittyviä vastuita. Tasolla 1 tämän ei tarvitse olla systemaattista ja säännöllistä.</v>
      </c>
      <c r="H37" s="1292"/>
      <c r="I37" s="58">
        <v>60</v>
      </c>
      <c r="J37" s="31"/>
      <c r="K37" s="26"/>
      <c r="L37" s="46"/>
      <c r="M37" s="77"/>
      <c r="N37" s="77"/>
      <c r="O37" s="77"/>
    </row>
    <row r="38" spans="1:15" s="17" customFormat="1" ht="49.95" customHeight="1" x14ac:dyDescent="0.25">
      <c r="A38" s="26"/>
      <c r="B38" s="59">
        <v>61</v>
      </c>
      <c r="C38" s="60" t="str">
        <f ca="1">_xlfn.IFNA(VLOOKUP("0-1-0-"&amp;B38,Data!$W:$X,2,FALSE),"")</f>
        <v>WORKFORCE-2b</v>
      </c>
      <c r="D38" s="1292" t="str">
        <f ca="1">IFERROR("("&amp;VLOOKUP("0-1-0-"&amp;B38,Data!$W:$X,2,FALSE)&amp;") "&amp;IF(VLOOKUP(C38,Languages!$A:$D,1,TRUE)=C38,VLOOKUP(C38,Languages!$A:$D,Summary!$C$7,TRUE),NA()),"")</f>
        <v>(WORKFORCE-2b) Kyberturvallisuuteen liittyvien tietojen, taitojen ja kykyjen vaatimukset ja niissä mahdollisesti ilmenevät puutteet on tunnistettu sekä nykyiset että tulevat tarpeet huomioiden. Tasolla 1 tämän ei tarvitse olla systemaattista ja säännöllistä.</v>
      </c>
      <c r="E38" s="1292"/>
      <c r="F38" s="440" t="str">
        <f ca="1">_xlfn.IFNA(VLOOKUP("0-1-0-"&amp;I38,Data!$W:$X,2,FALSE),"")</f>
        <v>WORKFORCE-3a</v>
      </c>
      <c r="G38" s="1292" t="str">
        <f ca="1">IFERROR("("&amp;VLOOKUP("0-1-0-"&amp;I38,Data!$W:$X,2,FALSE)&amp;") "&amp;IF(VLOOKUP(F38,Languages!$A:$D,1,TRUE)=F38,VLOOKUP(F38,Languages!$A:$D,Summary!$C$7,TRUE),NA()),"")</f>
        <v>(WORKFORCE-3a) Erilaisia tarkastuksia (esimerkiksi taustojen tarkistuksia, huumetestejä) suoritetaan uusia työntekijöitä palkatessa. Tasolla 1 tämän ei tarvitse olla systemaattista ja säännöllistä.</v>
      </c>
      <c r="H38" s="1292"/>
      <c r="I38" s="58">
        <v>62</v>
      </c>
      <c r="J38" s="31"/>
      <c r="K38" s="26"/>
      <c r="L38" s="46"/>
      <c r="M38" s="77"/>
      <c r="N38" s="77"/>
      <c r="O38" s="77"/>
    </row>
    <row r="39" spans="1:15" s="17" customFormat="1" ht="49.95" customHeight="1" x14ac:dyDescent="0.25">
      <c r="A39" s="26"/>
      <c r="B39" s="59">
        <v>63</v>
      </c>
      <c r="C39" s="60" t="str">
        <f ca="1">_xlfn.IFNA(VLOOKUP("0-1-0-"&amp;B39,Data!$W:$X,2,FALSE),"")</f>
        <v>WORKFORCE-3b</v>
      </c>
      <c r="D39" s="1292" t="str">
        <f ca="1">IFERROR("("&amp;VLOOKUP("0-1-0-"&amp;B39,Data!$W:$X,2,FALSE)&amp;") "&amp;IF(VLOOKUP(C39,Languages!$A:$D,1,TRUE)=C39,VLOOKUP(C39,Languages!$A:$D,Summary!$C$7,TRUE),NA()),"")</f>
        <v>(WORKFORCE-3b) Työsuhteen päättymiseen liittyvissä menettelyissä huomioidaan kyberturvallisuus. Tasolla 1 tämän ei tarvitse olla systemaattista ja säännöllistä.</v>
      </c>
      <c r="E39" s="1292"/>
      <c r="F39" s="440" t="str">
        <f ca="1">_xlfn.IFNA(VLOOKUP("0-1-0-"&amp;I39,Data!$W:$X,2,FALSE),"")</f>
        <v>WORKFORCE-4a</v>
      </c>
      <c r="G39" s="1292" t="str">
        <f ca="1">IFERROR("("&amp;VLOOKUP("0-1-0-"&amp;I39,Data!$W:$X,2,FALSE)&amp;") "&amp;IF(VLOOKUP(F39,Languages!$A:$D,1,TRUE)=F39,VLOOKUP(F39,Languages!$A:$D,Summary!$C$7,TRUE),NA()),"")</f>
        <v>(WORKFORCE-4a) Henkilöstön kyberturvallisuustietoisuutta kohotetaan erilaisin toimin. Tasolla 1 tämän ei tarvitse olla systemaattista ja säännöllistä.</v>
      </c>
      <c r="H39" s="1292"/>
      <c r="I39" s="58">
        <v>64</v>
      </c>
      <c r="J39" s="31"/>
      <c r="K39" s="26"/>
      <c r="L39" s="46"/>
      <c r="M39" s="77"/>
      <c r="N39" s="77"/>
      <c r="O39" s="77"/>
    </row>
    <row r="40" spans="1:15" s="13" customFormat="1" ht="15" customHeight="1" x14ac:dyDescent="0.25">
      <c r="A40" s="12"/>
      <c r="B40" s="14"/>
      <c r="C40" s="18"/>
      <c r="D40" s="18"/>
      <c r="E40" s="50"/>
      <c r="F40" s="19"/>
      <c r="G40" s="19"/>
      <c r="H40" s="19"/>
      <c r="I40" s="19"/>
      <c r="J40" s="15"/>
      <c r="K40" s="12"/>
      <c r="L40" s="46"/>
      <c r="M40" s="77"/>
      <c r="N40" s="77"/>
      <c r="O40" s="77"/>
    </row>
    <row r="41" spans="1:15" s="13" customFormat="1" ht="18" customHeight="1" x14ac:dyDescent="0.25">
      <c r="A41" s="12"/>
      <c r="B41" s="12"/>
      <c r="C41" s="12"/>
      <c r="D41" s="16"/>
      <c r="E41" s="16"/>
      <c r="F41" s="12"/>
      <c r="G41" s="12"/>
      <c r="H41" s="12"/>
      <c r="I41" s="12"/>
      <c r="J41" s="12"/>
      <c r="K41" s="12"/>
      <c r="L41" s="46"/>
      <c r="M41" s="77"/>
      <c r="N41" s="77"/>
      <c r="O41" s="77"/>
    </row>
  </sheetData>
  <sheetProtection sheet="1" formatCells="0" formatColumns="0" formatRows="0"/>
  <mergeCells count="66">
    <mergeCell ref="N4:N12"/>
    <mergeCell ref="D10:E10"/>
    <mergeCell ref="G10:H10"/>
    <mergeCell ref="D11:E11"/>
    <mergeCell ref="G11:H11"/>
    <mergeCell ref="D6:H6"/>
    <mergeCell ref="D8:E8"/>
    <mergeCell ref="G8:H8"/>
    <mergeCell ref="D9:E9"/>
    <mergeCell ref="G9:H9"/>
    <mergeCell ref="D12:E12"/>
    <mergeCell ref="G12:H12"/>
    <mergeCell ref="D13:E13"/>
    <mergeCell ref="G13:H13"/>
    <mergeCell ref="D27:E27"/>
    <mergeCell ref="G27:H27"/>
    <mergeCell ref="D14:E14"/>
    <mergeCell ref="G14:H14"/>
    <mergeCell ref="D15:E15"/>
    <mergeCell ref="G15:H15"/>
    <mergeCell ref="D16:E16"/>
    <mergeCell ref="G16:H16"/>
    <mergeCell ref="D17:E17"/>
    <mergeCell ref="G17:H17"/>
    <mergeCell ref="D18:E18"/>
    <mergeCell ref="G18:H18"/>
    <mergeCell ref="D19:E19"/>
    <mergeCell ref="G19:H19"/>
    <mergeCell ref="D20:E20"/>
    <mergeCell ref="G20:H20"/>
    <mergeCell ref="D21:E21"/>
    <mergeCell ref="G21:H21"/>
    <mergeCell ref="D25:E25"/>
    <mergeCell ref="G25:H25"/>
    <mergeCell ref="D26:E26"/>
    <mergeCell ref="G26:H26"/>
    <mergeCell ref="D22:E22"/>
    <mergeCell ref="G22:H22"/>
    <mergeCell ref="D23:E23"/>
    <mergeCell ref="G23:H23"/>
    <mergeCell ref="D24:E24"/>
    <mergeCell ref="G24:H24"/>
    <mergeCell ref="D28:E28"/>
    <mergeCell ref="G28:H28"/>
    <mergeCell ref="D29:E29"/>
    <mergeCell ref="G29:H29"/>
    <mergeCell ref="D30:E30"/>
    <mergeCell ref="G30:H30"/>
    <mergeCell ref="D31:E31"/>
    <mergeCell ref="G31:H31"/>
    <mergeCell ref="D32:E32"/>
    <mergeCell ref="G32:H32"/>
    <mergeCell ref="D33:E33"/>
    <mergeCell ref="G33:H33"/>
    <mergeCell ref="D34:E34"/>
    <mergeCell ref="G34:H34"/>
    <mergeCell ref="D35:E35"/>
    <mergeCell ref="G35:H35"/>
    <mergeCell ref="D36:E36"/>
    <mergeCell ref="G36:H36"/>
    <mergeCell ref="D37:E37"/>
    <mergeCell ref="G37:H37"/>
    <mergeCell ref="D38:E38"/>
    <mergeCell ref="G38:H38"/>
    <mergeCell ref="D39:E39"/>
    <mergeCell ref="G39:H39"/>
  </mergeCells>
  <pageMargins left="0.70866141732283472" right="0.70866141732283472" top="0.74803149606299213" bottom="0.74803149606299213" header="0.31496062992125984" footer="0.31496062992125984"/>
  <pageSetup paperSize="9" scale="47" orientation="portrait" r:id="rId1"/>
  <rowBreaks count="1" manualBreakCount="1">
    <brk id="26"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K17"/>
  <sheetViews>
    <sheetView zoomScale="98" zoomScaleNormal="98" workbookViewId="0">
      <selection activeCell="C13" sqref="C13"/>
    </sheetView>
  </sheetViews>
  <sheetFormatPr defaultColWidth="8.7265625" defaultRowHeight="13.8" x14ac:dyDescent="0.25"/>
  <cols>
    <col min="1" max="1" width="2.6328125" style="654" customWidth="1"/>
    <col min="2" max="2" width="3.7265625" style="654" customWidth="1"/>
    <col min="3" max="3" width="18.1796875" style="654" customWidth="1"/>
    <col min="4" max="4" width="12.54296875" style="654" customWidth="1"/>
    <col min="5" max="5" width="65.453125" style="654" customWidth="1"/>
    <col min="6" max="6" width="3.6328125" style="654" customWidth="1"/>
    <col min="7" max="7" width="2.6328125" style="654" customWidth="1"/>
    <col min="8" max="8" width="8.7265625" style="654"/>
    <col min="9" max="9" width="2.6328125" style="654" customWidth="1"/>
    <col min="10" max="10" width="80.6328125" style="654" customWidth="1"/>
    <col min="11" max="11" width="2.54296875" style="654" customWidth="1"/>
    <col min="12" max="16384" width="8.7265625" style="654"/>
  </cols>
  <sheetData>
    <row r="1" spans="1:11" x14ac:dyDescent="0.25">
      <c r="A1" s="138"/>
      <c r="B1" s="138"/>
      <c r="C1" s="138"/>
      <c r="D1" s="138"/>
      <c r="E1" s="138"/>
      <c r="F1" s="138"/>
      <c r="G1" s="138"/>
      <c r="I1" s="3"/>
      <c r="J1" s="3"/>
      <c r="K1" s="3"/>
    </row>
    <row r="2" spans="1:11" x14ac:dyDescent="0.25">
      <c r="A2" s="256"/>
      <c r="B2" s="807"/>
      <c r="C2" s="808" t="s">
        <v>2317</v>
      </c>
      <c r="D2" s="808" t="s">
        <v>2318</v>
      </c>
      <c r="E2" s="808" t="s">
        <v>2319</v>
      </c>
      <c r="F2" s="809"/>
      <c r="G2" s="256"/>
      <c r="I2" s="6"/>
      <c r="J2" s="913" t="s">
        <v>2307</v>
      </c>
      <c r="K2" s="6"/>
    </row>
    <row r="3" spans="1:11" s="877" customFormat="1" ht="22.95" customHeight="1" thickBot="1" x14ac:dyDescent="0.3">
      <c r="A3" s="138"/>
      <c r="B3" s="874"/>
      <c r="C3" s="875" t="str">
        <f>IF(VLOOKUP(C2,Languages!$A:$D,1,TRUE)=C2,VLOOKUP(C2,Languages!$A:$D,Summary!$C$7,TRUE),NA())</f>
        <v>Nimi</v>
      </c>
      <c r="D3" s="875" t="str">
        <f>IF(VLOOKUP(D2,Languages!$A:$D,1,TRUE)=D2,VLOOKUP(D2,Languages!$A:$D,Summary!$C$7,TRUE),NA())</f>
        <v>Päiväys</v>
      </c>
      <c r="E3" s="875" t="str">
        <f>IF(VLOOKUP(E2,Languages!$A:$D,1,TRUE)=E2,VLOOKUP(E2,Languages!$A:$D,Summary!$C$7,TRUE),NA())</f>
        <v>Kommentit</v>
      </c>
      <c r="F3" s="876"/>
      <c r="G3" s="138"/>
      <c r="I3" s="3"/>
      <c r="J3" s="914"/>
      <c r="K3" s="6"/>
    </row>
    <row r="4" spans="1:11" x14ac:dyDescent="0.25">
      <c r="A4" s="169"/>
      <c r="B4" s="810"/>
      <c r="C4" s="816"/>
      <c r="D4" s="816"/>
      <c r="E4" s="816"/>
      <c r="F4" s="811"/>
      <c r="G4" s="278"/>
      <c r="I4" s="3"/>
      <c r="J4" s="1161" t="s">
        <v>3111</v>
      </c>
      <c r="K4" s="6"/>
    </row>
    <row r="5" spans="1:11" s="821" customFormat="1" ht="19.95" customHeight="1" x14ac:dyDescent="0.25">
      <c r="A5" s="817"/>
      <c r="B5" s="818"/>
      <c r="C5" s="822"/>
      <c r="D5" s="823"/>
      <c r="E5" s="824"/>
      <c r="F5" s="819"/>
      <c r="G5" s="820"/>
      <c r="I5" s="3"/>
      <c r="J5" s="1161"/>
      <c r="K5" s="6"/>
    </row>
    <row r="6" spans="1:11" s="821" customFormat="1" ht="19.95" customHeight="1" x14ac:dyDescent="0.25">
      <c r="A6" s="817"/>
      <c r="B6" s="818"/>
      <c r="C6" s="822"/>
      <c r="D6" s="825"/>
      <c r="E6" s="824"/>
      <c r="F6" s="819"/>
      <c r="G6" s="820"/>
      <c r="I6" s="3"/>
      <c r="J6" s="1161"/>
      <c r="K6" s="6"/>
    </row>
    <row r="7" spans="1:11" s="821" customFormat="1" ht="19.95" customHeight="1" x14ac:dyDescent="0.25">
      <c r="A7" s="817"/>
      <c r="B7" s="818"/>
      <c r="C7" s="822"/>
      <c r="D7" s="825"/>
      <c r="E7" s="824"/>
      <c r="F7" s="819"/>
      <c r="G7" s="820"/>
      <c r="I7" s="3"/>
      <c r="J7" s="1161"/>
      <c r="K7" s="6"/>
    </row>
    <row r="8" spans="1:11" s="821" customFormat="1" ht="19.95" customHeight="1" x14ac:dyDescent="0.25">
      <c r="A8" s="817"/>
      <c r="B8" s="818"/>
      <c r="C8" s="822"/>
      <c r="D8" s="825"/>
      <c r="E8" s="824"/>
      <c r="F8" s="819"/>
      <c r="G8" s="820"/>
      <c r="I8" s="12"/>
      <c r="J8" s="1162"/>
      <c r="K8" s="12"/>
    </row>
    <row r="9" spans="1:11" s="821" customFormat="1" ht="19.95" customHeight="1" x14ac:dyDescent="0.25">
      <c r="A9" s="817"/>
      <c r="B9" s="818"/>
      <c r="C9" s="822"/>
      <c r="D9" s="825"/>
      <c r="E9" s="824"/>
      <c r="F9" s="819"/>
      <c r="G9" s="820"/>
      <c r="I9" s="12"/>
      <c r="J9" s="12"/>
      <c r="K9" s="12"/>
    </row>
    <row r="10" spans="1:11" s="821" customFormat="1" ht="19.95" customHeight="1" x14ac:dyDescent="0.25">
      <c r="A10" s="817"/>
      <c r="B10" s="818"/>
      <c r="C10" s="822"/>
      <c r="D10" s="825"/>
      <c r="E10" s="824"/>
      <c r="F10" s="819"/>
      <c r="G10" s="820"/>
    </row>
    <row r="11" spans="1:11" s="821" customFormat="1" ht="19.95" customHeight="1" x14ac:dyDescent="0.25">
      <c r="A11" s="817"/>
      <c r="B11" s="818"/>
      <c r="C11" s="822"/>
      <c r="D11" s="825"/>
      <c r="E11" s="824"/>
      <c r="F11" s="819"/>
      <c r="G11" s="820"/>
    </row>
    <row r="12" spans="1:11" s="821" customFormat="1" ht="19.95" customHeight="1" x14ac:dyDescent="0.25">
      <c r="A12" s="817"/>
      <c r="B12" s="818"/>
      <c r="C12" s="822"/>
      <c r="D12" s="825"/>
      <c r="E12" s="824"/>
      <c r="F12" s="819"/>
      <c r="G12" s="820"/>
    </row>
    <row r="13" spans="1:11" s="821" customFormat="1" ht="19.95" customHeight="1" x14ac:dyDescent="0.25">
      <c r="A13" s="817"/>
      <c r="B13" s="818"/>
      <c r="C13" s="822"/>
      <c r="D13" s="825"/>
      <c r="E13" s="824"/>
      <c r="F13" s="819"/>
      <c r="G13" s="820"/>
    </row>
    <row r="14" spans="1:11" s="821" customFormat="1" ht="19.95" customHeight="1" x14ac:dyDescent="0.25">
      <c r="A14" s="817"/>
      <c r="B14" s="818"/>
      <c r="C14" s="822"/>
      <c r="D14" s="825"/>
      <c r="E14" s="824"/>
      <c r="F14" s="819"/>
      <c r="G14" s="820"/>
    </row>
    <row r="15" spans="1:11" s="821" customFormat="1" ht="19.95" customHeight="1" x14ac:dyDescent="0.25">
      <c r="A15" s="817"/>
      <c r="B15" s="818"/>
      <c r="C15" s="822"/>
      <c r="D15" s="825"/>
      <c r="E15" s="824"/>
      <c r="F15" s="819"/>
      <c r="G15" s="820"/>
    </row>
    <row r="16" spans="1:11" x14ac:dyDescent="0.25">
      <c r="A16" s="240"/>
      <c r="B16" s="812"/>
      <c r="C16" s="813"/>
      <c r="D16" s="814"/>
      <c r="E16" s="814"/>
      <c r="F16" s="815"/>
      <c r="G16" s="240"/>
    </row>
    <row r="17" spans="1:7" x14ac:dyDescent="0.25">
      <c r="A17" s="240"/>
      <c r="B17" s="240"/>
      <c r="C17" s="240"/>
      <c r="D17" s="240"/>
      <c r="E17" s="240"/>
      <c r="F17" s="240"/>
      <c r="G17" s="240"/>
    </row>
  </sheetData>
  <mergeCells count="1">
    <mergeCell ref="J4:J8"/>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15"/>
  <sheetViews>
    <sheetView showGridLines="0" zoomScale="80" zoomScaleNormal="80" workbookViewId="0"/>
  </sheetViews>
  <sheetFormatPr defaultColWidth="9.26953125" defaultRowHeight="11.4" x14ac:dyDescent="0.25"/>
  <cols>
    <col min="1" max="2" width="1.6328125" style="5" customWidth="1"/>
    <col min="3" max="3" width="2.6328125" style="5" customWidth="1"/>
    <col min="4" max="4" width="51.81640625" style="13" customWidth="1"/>
    <col min="5" max="11" width="8.6328125" style="47" customWidth="1"/>
    <col min="12" max="14" width="8.6328125" style="5" customWidth="1"/>
    <col min="15" max="15" width="2.6328125" style="5" customWidth="1"/>
    <col min="16" max="16" width="1.6328125" style="5" customWidth="1"/>
    <col min="17" max="17" width="1.6328125" style="13" customWidth="1"/>
    <col min="18" max="18" width="1.6328125" style="46" customWidth="1"/>
    <col min="19" max="19" width="9.26953125" style="77"/>
    <col min="20" max="20" width="1.6328125" style="77" customWidth="1"/>
    <col min="21" max="21" width="80.6328125" style="77" customWidth="1"/>
    <col min="22" max="22" width="1.6328125" style="5" customWidth="1"/>
    <col min="23" max="16384" width="9.26953125" style="5"/>
  </cols>
  <sheetData>
    <row r="1" spans="1:27" ht="13.5" customHeight="1" x14ac:dyDescent="0.25">
      <c r="A1" s="3"/>
      <c r="B1" s="3"/>
      <c r="C1" s="3"/>
      <c r="D1" s="4"/>
      <c r="E1" s="4"/>
      <c r="F1" s="4"/>
      <c r="G1" s="4"/>
      <c r="H1" s="4"/>
      <c r="I1" s="4"/>
      <c r="J1" s="4"/>
      <c r="K1" s="4"/>
      <c r="L1" s="3"/>
      <c r="M1" s="3"/>
      <c r="N1" s="3"/>
      <c r="O1" s="3"/>
      <c r="P1" s="3"/>
      <c r="Q1" s="3"/>
      <c r="R1" s="43"/>
      <c r="T1" s="838"/>
      <c r="U1" s="838"/>
      <c r="V1" s="839"/>
    </row>
    <row r="2" spans="1:27" s="9" customFormat="1" ht="18" customHeight="1" x14ac:dyDescent="0.25">
      <c r="A2" s="6"/>
      <c r="B2" s="7"/>
      <c r="C2" s="35"/>
      <c r="D2" s="35"/>
      <c r="E2" s="49"/>
      <c r="F2" s="49"/>
      <c r="G2" s="49"/>
      <c r="H2" s="49"/>
      <c r="I2" s="49"/>
      <c r="J2" s="49"/>
      <c r="K2" s="49"/>
      <c r="L2" s="35"/>
      <c r="M2" s="35"/>
      <c r="N2" s="35"/>
      <c r="O2" s="35"/>
      <c r="P2" s="8"/>
      <c r="Q2" s="6"/>
      <c r="R2" s="44"/>
      <c r="S2" s="78"/>
      <c r="T2" s="838"/>
      <c r="U2" s="911" t="s">
        <v>2307</v>
      </c>
      <c r="V2" s="839"/>
    </row>
    <row r="3" spans="1:27" ht="26.4" customHeight="1" x14ac:dyDescent="0.25">
      <c r="A3" s="3"/>
      <c r="B3" s="10"/>
      <c r="D3" s="72" t="s">
        <v>477</v>
      </c>
      <c r="I3" s="840" t="s">
        <v>2306</v>
      </c>
      <c r="J3" s="841" t="str">
        <f>Parameters!$B$18</f>
        <v xml:space="preserve">0 - Vastaus puuttuu </v>
      </c>
      <c r="K3" s="842" t="str">
        <f>Parameters!$B$19</f>
        <v>1 - Ei toteutettu tai ei tietoa</v>
      </c>
      <c r="L3" s="843" t="str">
        <f>Parameters!$B$20</f>
        <v>2 - Osittain toteutettu</v>
      </c>
      <c r="M3" s="844" t="str">
        <f>Parameters!$B$21</f>
        <v>3 - Enimmäkseen  toteutettu</v>
      </c>
      <c r="N3" s="845" t="str">
        <f>Parameters!$B$22</f>
        <v>4 - Täysin toteutettu</v>
      </c>
      <c r="O3" s="52"/>
      <c r="P3" s="11"/>
      <c r="Q3" s="3"/>
      <c r="R3" s="43"/>
      <c r="T3" s="838"/>
      <c r="U3" s="912"/>
      <c r="V3" s="839"/>
    </row>
    <row r="4" spans="1:27" ht="30.6" customHeight="1" x14ac:dyDescent="0.25">
      <c r="A4" s="3"/>
      <c r="B4" s="10"/>
      <c r="D4" s="71" t="str">
        <f>IF(VLOOKUP("KM76",Languages!$A:$D,1,TRUE)="KM76",VLOOKUP("KM76",Languages!$A:$D,Summary!$C$7,TRUE),NA())</f>
        <v>Yleiset hallintatoimet</v>
      </c>
      <c r="E4" s="73"/>
      <c r="F4" s="73"/>
      <c r="G4" s="73"/>
      <c r="H4" s="73"/>
      <c r="I4" s="73"/>
      <c r="J4" s="73"/>
      <c r="K4" s="73"/>
      <c r="L4" s="73"/>
      <c r="M4" s="73"/>
      <c r="N4" s="73"/>
      <c r="O4" s="51"/>
      <c r="P4" s="11"/>
      <c r="Q4" s="3"/>
      <c r="R4" s="43"/>
      <c r="T4" s="838"/>
      <c r="U4" s="1295" t="s">
        <v>3093</v>
      </c>
      <c r="V4" s="839"/>
    </row>
    <row r="5" spans="1:27" s="763" customFormat="1" ht="120" customHeight="1" x14ac:dyDescent="0.3">
      <c r="A5" s="756"/>
      <c r="B5" s="757"/>
      <c r="C5" s="758"/>
      <c r="D5" s="759" t="s">
        <v>2304</v>
      </c>
      <c r="E5" s="765" t="s">
        <v>48</v>
      </c>
      <c r="F5" s="765" t="s">
        <v>66</v>
      </c>
      <c r="G5" s="765" t="s">
        <v>0</v>
      </c>
      <c r="H5" s="765" t="s">
        <v>61</v>
      </c>
      <c r="I5" s="765" t="s">
        <v>69</v>
      </c>
      <c r="J5" s="765" t="s">
        <v>71</v>
      </c>
      <c r="K5" s="765" t="s">
        <v>1145</v>
      </c>
      <c r="L5" s="765" t="s">
        <v>77</v>
      </c>
      <c r="M5" s="765" t="s">
        <v>80</v>
      </c>
      <c r="N5" s="765" t="s">
        <v>82</v>
      </c>
      <c r="O5" s="41"/>
      <c r="P5" s="760"/>
      <c r="Q5" s="756"/>
      <c r="R5" s="761"/>
      <c r="S5" s="762"/>
      <c r="T5" s="838"/>
      <c r="U5" s="1295"/>
      <c r="V5" s="839"/>
      <c r="AA5" s="1294"/>
    </row>
    <row r="6" spans="1:27" s="763" customFormat="1" ht="19.2" customHeight="1" x14ac:dyDescent="0.25">
      <c r="A6" s="756"/>
      <c r="B6" s="757"/>
      <c r="C6" s="758"/>
      <c r="D6" s="836" t="s">
        <v>2305</v>
      </c>
      <c r="E6" s="835">
        <v>5</v>
      </c>
      <c r="F6" s="835">
        <v>3</v>
      </c>
      <c r="G6" s="835">
        <v>5</v>
      </c>
      <c r="H6" s="835">
        <v>4</v>
      </c>
      <c r="I6" s="835">
        <v>4</v>
      </c>
      <c r="J6" s="835">
        <v>5</v>
      </c>
      <c r="K6" s="835">
        <v>3</v>
      </c>
      <c r="L6" s="835">
        <v>5</v>
      </c>
      <c r="M6" s="835">
        <v>6</v>
      </c>
      <c r="N6" s="835">
        <v>3</v>
      </c>
      <c r="O6" s="41"/>
      <c r="P6" s="760"/>
      <c r="Q6" s="756"/>
      <c r="R6" s="761"/>
      <c r="S6" s="762"/>
      <c r="T6" s="838"/>
      <c r="U6" s="1295"/>
      <c r="V6" s="838"/>
      <c r="AA6" s="1294"/>
    </row>
    <row r="7" spans="1:27" s="17" customFormat="1" ht="10.050000000000001" customHeight="1" x14ac:dyDescent="0.25">
      <c r="A7" s="26"/>
      <c r="B7" s="27"/>
      <c r="C7" s="36"/>
      <c r="E7" s="33"/>
      <c r="F7" s="33"/>
      <c r="G7" s="33"/>
      <c r="H7" s="33"/>
      <c r="I7" s="33"/>
      <c r="J7" s="33"/>
      <c r="K7" s="33"/>
      <c r="L7" s="33"/>
      <c r="M7" s="33"/>
      <c r="N7" s="33"/>
      <c r="O7" s="33"/>
      <c r="P7" s="31"/>
      <c r="Q7" s="26"/>
      <c r="R7" s="45"/>
      <c r="S7" s="79"/>
      <c r="T7" s="915"/>
      <c r="U7" s="1295"/>
      <c r="V7" s="916"/>
    </row>
    <row r="8" spans="1:27" s="17" customFormat="1" ht="40.049999999999997" customHeight="1" x14ac:dyDescent="0.25">
      <c r="A8" s="26"/>
      <c r="B8" s="784"/>
      <c r="C8" s="785" t="s">
        <v>2284</v>
      </c>
      <c r="D8" s="764" t="str">
        <f>SUBSTITUTE(IF(VLOOKUP(CONCATENATE("ASSET","-5",$C8),Languages!$A:$D,1,TRUE)=CONCATENATE("ASSET","-5",$C8),VLOOKUP(CONCATENATE("ASSET","-5",$C8),Languages!$A:$D,Summary!$C$7,TRUE),NA()),"ASSET-o","O")</f>
        <v>Osion toimintaa varten on määritetty dokumentoidut toimintatavat, joita noudatetaan ja päivitetään säännöllisesti.</v>
      </c>
      <c r="E8" s="768" t="e">
        <f ca="1" xml:space="preserve">
VLOOKUP(CONCATENATE(E$5,"-",E$6,$C8),Data!$C:$H,6,FALSE)</f>
        <v>#VALUE!</v>
      </c>
      <c r="F8" s="768" t="e">
        <f ca="1" xml:space="preserve">
VLOOKUP(CONCATENATE(F$5,"-",F$6,$C8),Data!$C:$H,6,FALSE)</f>
        <v>#VALUE!</v>
      </c>
      <c r="G8" s="768" t="e">
        <f ca="1" xml:space="preserve">
VLOOKUP(CONCATENATE(G$5,"-",G$6,$C8),Data!$C:$H,6,FALSE)</f>
        <v>#VALUE!</v>
      </c>
      <c r="H8" s="768" t="e">
        <f ca="1" xml:space="preserve">
VLOOKUP(CONCATENATE(H$5,"-",H$6,$C8),Data!$C:$H,6,FALSE)</f>
        <v>#VALUE!</v>
      </c>
      <c r="I8" s="768" t="e">
        <f ca="1" xml:space="preserve">
VLOOKUP(CONCATENATE(I$5,"-",I$6,$C8),Data!$C:$H,6,FALSE)</f>
        <v>#VALUE!</v>
      </c>
      <c r="J8" s="768" t="e">
        <f ca="1" xml:space="preserve">
VLOOKUP(CONCATENATE(J$5,"-",J$6,$C8),Data!$C:$H,6,FALSE)</f>
        <v>#VALUE!</v>
      </c>
      <c r="K8" s="768" t="e">
        <f ca="1" xml:space="preserve">
VLOOKUP(CONCATENATE(K$5,"-",K$6,$C8),Data!$C:$H,6,FALSE)</f>
        <v>#VALUE!</v>
      </c>
      <c r="L8" s="768" t="e">
        <f ca="1" xml:space="preserve">
VLOOKUP(CONCATENATE(L$5,"-",L$6,$C8),Data!$C:$H,6,FALSE)</f>
        <v>#VALUE!</v>
      </c>
      <c r="M8" s="768" t="e">
        <f ca="1" xml:space="preserve">
VLOOKUP(CONCATENATE(M$5,"-",M$6,$C8),Data!$C:$H,6,FALSE)</f>
        <v>#VALUE!</v>
      </c>
      <c r="N8" s="768" t="e">
        <f ca="1" xml:space="preserve">
VLOOKUP(CONCATENATE(N$5,"-",N$6,$C8),Data!$C:$H,6,FALSE)</f>
        <v>#VALUE!</v>
      </c>
      <c r="O8" s="58"/>
      <c r="P8" s="31"/>
      <c r="Q8" s="26"/>
      <c r="R8" s="45"/>
      <c r="S8" s="79"/>
      <c r="T8" s="915"/>
      <c r="U8" s="1295"/>
      <c r="V8" s="916"/>
    </row>
    <row r="9" spans="1:27" s="17" customFormat="1" ht="40.049999999999997" customHeight="1" x14ac:dyDescent="0.25">
      <c r="A9" s="26"/>
      <c r="B9" s="784"/>
      <c r="C9" s="785" t="s">
        <v>2285</v>
      </c>
      <c r="D9" s="764" t="str">
        <f>SUBSTITUTE(IF(VLOOKUP(CONCATENATE("ASSET","-5",$C9),Languages!$A:$D,1,TRUE)=CONCATENATE("ASSET","-5",$C9),VLOOKUP(CONCATENATE("ASSET","-5",$C9),Languages!$A:$D,Summary!$C$7,TRUE),NA()),"ASSET-o","O")</f>
        <v>Osion toimintaa varten on tarjolla riittävät resurssit (henkilöstö, rahoitus ja työkalut).</v>
      </c>
      <c r="E9" s="768" t="e">
        <f ca="1" xml:space="preserve">
VLOOKUP(CONCATENATE(E$5,"-",E$6,$C9),Data!$C:$H,6,FALSE)</f>
        <v>#VALUE!</v>
      </c>
      <c r="F9" s="768" t="e">
        <f ca="1" xml:space="preserve">
VLOOKUP(CONCATENATE(F$5,"-",F$6,$C9),Data!$C:$H,6,FALSE)</f>
        <v>#VALUE!</v>
      </c>
      <c r="G9" s="768" t="e">
        <f ca="1" xml:space="preserve">
VLOOKUP(CONCATENATE(G$5,"-",G$6,$C9),Data!$C:$H,6,FALSE)</f>
        <v>#VALUE!</v>
      </c>
      <c r="H9" s="768" t="e">
        <f ca="1" xml:space="preserve">
VLOOKUP(CONCATENATE(H$5,"-",H$6,$C9),Data!$C:$H,6,FALSE)</f>
        <v>#VALUE!</v>
      </c>
      <c r="I9" s="768" t="e">
        <f ca="1" xml:space="preserve">
VLOOKUP(CONCATENATE(I$5,"-",I$6,$C9),Data!$C:$H,6,FALSE)</f>
        <v>#VALUE!</v>
      </c>
      <c r="J9" s="768" t="e">
        <f ca="1" xml:space="preserve">
VLOOKUP(CONCATENATE(J$5,"-",J$6,$C9),Data!$C:$H,6,FALSE)</f>
        <v>#VALUE!</v>
      </c>
      <c r="K9" s="768" t="e">
        <f ca="1" xml:space="preserve">
VLOOKUP(CONCATENATE(K$5,"-",K$6,$C9),Data!$C:$H,6,FALSE)</f>
        <v>#VALUE!</v>
      </c>
      <c r="L9" s="768" t="e">
        <f ca="1" xml:space="preserve">
VLOOKUP(CONCATENATE(L$5,"-",L$6,$C9),Data!$C:$H,6,FALSE)</f>
        <v>#VALUE!</v>
      </c>
      <c r="M9" s="768" t="e">
        <f ca="1" xml:space="preserve">
VLOOKUP(CONCATENATE(M$5,"-",M$6,$C9),Data!$C:$H,6,FALSE)</f>
        <v>#VALUE!</v>
      </c>
      <c r="N9" s="768" t="e">
        <f ca="1" xml:space="preserve">
VLOOKUP(CONCATENATE(N$5,"-",N$6,$C9),Data!$C:$H,6,FALSE)</f>
        <v>#VALUE!</v>
      </c>
      <c r="O9" s="58"/>
      <c r="P9" s="31"/>
      <c r="Q9" s="26"/>
      <c r="R9" s="45"/>
      <c r="S9" s="79"/>
      <c r="T9" s="915"/>
      <c r="U9" s="1296"/>
      <c r="V9" s="916"/>
    </row>
    <row r="10" spans="1:27" s="17" customFormat="1" ht="40.049999999999997" customHeight="1" x14ac:dyDescent="0.25">
      <c r="A10" s="26"/>
      <c r="B10" s="784"/>
      <c r="C10" s="785" t="s">
        <v>2286</v>
      </c>
      <c r="D10" s="764" t="str">
        <f>SUBSTITUTE(IF(VLOOKUP(CONCATENATE("ASSET","-5",$C10),Languages!$A:$D,1,TRUE)=CONCATENATE("ASSET","-5",$C10),VLOOKUP(CONCATENATE("ASSET","-5",$C10),Languages!$A:$D,Summary!$C$7,TRUE),NA()),"ASSET-o","O")</f>
        <v>Osion toimintaa ohjataan vaatimuksilla, jotka on asetettu organisaation johtotason politiikassa (tai vastaavassa ohjeistuksessa).</v>
      </c>
      <c r="E10" s="768" t="e">
        <f ca="1" xml:space="preserve">
VLOOKUP(CONCATENATE(E$5,"-",E$6,$C10),Data!$C:$H,6,FALSE)</f>
        <v>#VALUE!</v>
      </c>
      <c r="F10" s="768" t="e">
        <f ca="1" xml:space="preserve">
VLOOKUP(CONCATENATE(F$5,"-",F$6,$C10),Data!$C:$H,6,FALSE)</f>
        <v>#VALUE!</v>
      </c>
      <c r="G10" s="768" t="e">
        <f ca="1" xml:space="preserve">
VLOOKUP(CONCATENATE(G$5,"-",G$6,$C10),Data!$C:$H,6,FALSE)</f>
        <v>#VALUE!</v>
      </c>
      <c r="H10" s="768" t="e">
        <f ca="1" xml:space="preserve">
VLOOKUP(CONCATENATE(H$5,"-",H$6,$C10),Data!$C:$H,6,FALSE)</f>
        <v>#VALUE!</v>
      </c>
      <c r="I10" s="768" t="e">
        <f ca="1" xml:space="preserve">
VLOOKUP(CONCATENATE(I$5,"-",I$6,$C10),Data!$C:$H,6,FALSE)</f>
        <v>#VALUE!</v>
      </c>
      <c r="J10" s="768" t="e">
        <f ca="1" xml:space="preserve">
VLOOKUP(CONCATENATE(J$5,"-",J$6,$C10),Data!$C:$H,6,FALSE)</f>
        <v>#VALUE!</v>
      </c>
      <c r="K10" s="768" t="e">
        <f ca="1" xml:space="preserve">
VLOOKUP(CONCATENATE(K$5,"-",K$6,$C10),Data!$C:$H,6,FALSE)</f>
        <v>#VALUE!</v>
      </c>
      <c r="L10" s="768" t="e">
        <f ca="1" xml:space="preserve">
VLOOKUP(CONCATENATE(L$5,"-",L$6,$C10),Data!$C:$H,6,FALSE)</f>
        <v>#VALUE!</v>
      </c>
      <c r="M10" s="768" t="e">
        <f ca="1" xml:space="preserve">
VLOOKUP(CONCATENATE(M$5,"-",M$6,$C10),Data!$C:$H,6,FALSE)</f>
        <v>#VALUE!</v>
      </c>
      <c r="N10" s="768" t="e">
        <f ca="1" xml:space="preserve">
VLOOKUP(CONCATENATE(N$5,"-",N$6,$C10),Data!$C:$H,6,FALSE)</f>
        <v>#VALUE!</v>
      </c>
      <c r="O10" s="58"/>
      <c r="P10" s="31"/>
      <c r="Q10" s="26"/>
      <c r="R10" s="45"/>
      <c r="S10" s="79"/>
      <c r="T10" s="915"/>
      <c r="U10" s="838"/>
      <c r="V10" s="916"/>
    </row>
    <row r="11" spans="1:27" s="17" customFormat="1" ht="40.049999999999997" customHeight="1" x14ac:dyDescent="0.25">
      <c r="A11" s="26"/>
      <c r="B11" s="784"/>
      <c r="C11" s="785" t="s">
        <v>2287</v>
      </c>
      <c r="D11" s="764" t="str">
        <f>SUBSTITUTE(IF(VLOOKUP(CONCATENATE("ASSET","-5",$C11),Languages!$A:$D,1,TRUE)=CONCATENATE("ASSET","-5",$C11),VLOOKUP(CONCATENATE("ASSET","-5",$C11),Languages!$A:$D,Summary!$C$7,TRUE),NA()),"ASSET-o","O")</f>
        <v>Osion toimintaa suorittavilla työntekijöillä on riittävät tiedot ja taidot tehtäviensä suorittamiseen.</v>
      </c>
      <c r="E11" s="768" t="e">
        <f ca="1" xml:space="preserve">
VLOOKUP(CONCATENATE(E$5,"-",E$6,$C11),Data!$C:$H,6,FALSE)</f>
        <v>#VALUE!</v>
      </c>
      <c r="F11" s="768" t="e">
        <f ca="1" xml:space="preserve">
VLOOKUP(CONCATENATE(F$5,"-",F$6,$C11),Data!$C:$H,6,FALSE)</f>
        <v>#VALUE!</v>
      </c>
      <c r="G11" s="768" t="e">
        <f ca="1" xml:space="preserve">
VLOOKUP(CONCATENATE(G$5,"-",G$6,$C11),Data!$C:$H,6,FALSE)</f>
        <v>#VALUE!</v>
      </c>
      <c r="H11" s="768" t="e">
        <f ca="1" xml:space="preserve">
VLOOKUP(CONCATENATE(H$5,"-",H$6,$C11),Data!$C:$H,6,FALSE)</f>
        <v>#VALUE!</v>
      </c>
      <c r="I11" s="768" t="e">
        <f ca="1" xml:space="preserve">
VLOOKUP(CONCATENATE(I$5,"-",I$6,$C11),Data!$C:$H,6,FALSE)</f>
        <v>#VALUE!</v>
      </c>
      <c r="J11" s="768" t="e">
        <f ca="1" xml:space="preserve">
VLOOKUP(CONCATENATE(J$5,"-",J$6,$C11),Data!$C:$H,6,FALSE)</f>
        <v>#VALUE!</v>
      </c>
      <c r="K11" s="768" t="e">
        <f ca="1" xml:space="preserve">
VLOOKUP(CONCATENATE(K$5,"-",K$6,$C11),Data!$C:$H,6,FALSE)</f>
        <v>#VALUE!</v>
      </c>
      <c r="L11" s="768" t="e">
        <f ca="1" xml:space="preserve">
VLOOKUP(CONCATENATE(L$5,"-",L$6,$C11),Data!$C:$H,6,FALSE)</f>
        <v>#VALUE!</v>
      </c>
      <c r="M11" s="768" t="e">
        <f ca="1" xml:space="preserve">
VLOOKUP(CONCATENATE(M$5,"-",M$6,$C11),Data!$C:$H,6,FALSE)</f>
        <v>#VALUE!</v>
      </c>
      <c r="N11" s="768" t="e">
        <f ca="1" xml:space="preserve">
VLOOKUP(CONCATENATE(N$5,"-",N$6,$C11),Data!$C:$H,6,FALSE)</f>
        <v>#VALUE!</v>
      </c>
      <c r="O11" s="58"/>
      <c r="P11" s="31"/>
      <c r="Q11" s="26"/>
      <c r="R11" s="45"/>
      <c r="S11" s="79"/>
      <c r="T11" s="79"/>
      <c r="U11" s="79"/>
    </row>
    <row r="12" spans="1:27" s="17" customFormat="1" ht="40.049999999999997" customHeight="1" x14ac:dyDescent="0.25">
      <c r="A12" s="26"/>
      <c r="B12" s="784"/>
      <c r="C12" s="785" t="s">
        <v>2288</v>
      </c>
      <c r="D12" s="764" t="str">
        <f>SUBSTITUTE(IF(VLOOKUP(CONCATENATE("ASSET","-5",$C12),Languages!$A:$D,1,TRUE)=CONCATENATE("ASSET","-5",$C12),VLOOKUP(CONCATENATE("ASSET","-5",$C12),Languages!$A:$D,Summary!$C$7,TRUE),NA()),"ASSET-o","O")</f>
        <v>Osion toiminnan suorittamiseen tarvittavat vastuut, tilivelvollisuudet ja valtuutukset on jalkautettu soveltuville työntekijöille.</v>
      </c>
      <c r="E12" s="768" t="e">
        <f ca="1" xml:space="preserve">
VLOOKUP(CONCATENATE(E$5,"-",E$6,$C12),Data!$C:$H,6,FALSE)</f>
        <v>#VALUE!</v>
      </c>
      <c r="F12" s="768" t="e">
        <f ca="1" xml:space="preserve">
VLOOKUP(CONCATENATE(F$5,"-",F$6,$C12),Data!$C:$H,6,FALSE)</f>
        <v>#VALUE!</v>
      </c>
      <c r="G12" s="768" t="e">
        <f ca="1" xml:space="preserve">
VLOOKUP(CONCATENATE(G$5,"-",G$6,$C12),Data!$C:$H,6,FALSE)</f>
        <v>#VALUE!</v>
      </c>
      <c r="H12" s="768" t="e">
        <f ca="1" xml:space="preserve">
VLOOKUP(CONCATENATE(H$5,"-",H$6,$C12),Data!$C:$H,6,FALSE)</f>
        <v>#VALUE!</v>
      </c>
      <c r="I12" s="768" t="e">
        <f ca="1" xml:space="preserve">
VLOOKUP(CONCATENATE(I$5,"-",I$6,$C12),Data!$C:$H,6,FALSE)</f>
        <v>#VALUE!</v>
      </c>
      <c r="J12" s="768" t="e">
        <f ca="1" xml:space="preserve">
VLOOKUP(CONCATENATE(J$5,"-",J$6,$C12),Data!$C:$H,6,FALSE)</f>
        <v>#VALUE!</v>
      </c>
      <c r="K12" s="768" t="e">
        <f ca="1" xml:space="preserve">
VLOOKUP(CONCATENATE(K$5,"-",K$6,$C12),Data!$C:$H,6,FALSE)</f>
        <v>#VALUE!</v>
      </c>
      <c r="L12" s="768" t="e">
        <f ca="1" xml:space="preserve">
VLOOKUP(CONCATENATE(L$5,"-",L$6,$C12),Data!$C:$H,6,FALSE)</f>
        <v>#VALUE!</v>
      </c>
      <c r="M12" s="768" t="e">
        <f ca="1" xml:space="preserve">
VLOOKUP(CONCATENATE(M$5,"-",M$6,$C12),Data!$C:$H,6,FALSE)</f>
        <v>#VALUE!</v>
      </c>
      <c r="N12" s="768" t="e">
        <f ca="1" xml:space="preserve">
VLOOKUP(CONCATENATE(N$5,"-",N$6,$C12),Data!$C:$H,6,FALSE)</f>
        <v>#VALUE!</v>
      </c>
      <c r="O12" s="58"/>
      <c r="P12" s="31"/>
      <c r="Q12" s="26"/>
      <c r="R12" s="45"/>
      <c r="S12" s="79"/>
      <c r="T12" s="79"/>
      <c r="U12" s="79"/>
    </row>
    <row r="13" spans="1:27" s="17" customFormat="1" ht="40.049999999999997" customHeight="1" x14ac:dyDescent="0.25">
      <c r="A13" s="26"/>
      <c r="B13" s="784"/>
      <c r="C13" s="785" t="s">
        <v>2289</v>
      </c>
      <c r="D13" s="764" t="str">
        <f>SUBSTITUTE(IF(VLOOKUP(CONCATENATE("ASSET","-5",$C13),Languages!$A:$D,1,TRUE)=CONCATENATE("ASSET","-5",$C13),VLOOKUP(CONCATENATE("ASSET","-5",$C13),Languages!$A:$D,Summary!$C$7,TRUE),NA()),"ASSET-o","O")</f>
        <v>Osion toiminnan vaikuttavuutta arvioidaan ja seurataan.</v>
      </c>
      <c r="E13" s="768" t="e">
        <f ca="1" xml:space="preserve">
VLOOKUP(CONCATENATE(E$5,"-",E$6,$C13),Data!$C:$H,6,FALSE)</f>
        <v>#VALUE!</v>
      </c>
      <c r="F13" s="768" t="e">
        <f ca="1" xml:space="preserve">
VLOOKUP(CONCATENATE(F$5,"-",F$6,$C13),Data!$C:$H,6,FALSE)</f>
        <v>#VALUE!</v>
      </c>
      <c r="G13" s="768" t="e">
        <f ca="1" xml:space="preserve">
VLOOKUP(CONCATENATE(G$5,"-",G$6,$C13),Data!$C:$H,6,FALSE)</f>
        <v>#VALUE!</v>
      </c>
      <c r="H13" s="768" t="e">
        <f ca="1" xml:space="preserve">
VLOOKUP(CONCATENATE(H$5,"-",H$6,$C13),Data!$C:$H,6,FALSE)</f>
        <v>#VALUE!</v>
      </c>
      <c r="I13" s="768" t="e">
        <f ca="1" xml:space="preserve">
VLOOKUP(CONCATENATE(I$5,"-",I$6,$C13),Data!$C:$H,6,FALSE)</f>
        <v>#VALUE!</v>
      </c>
      <c r="J13" s="768" t="e">
        <f ca="1" xml:space="preserve">
VLOOKUP(CONCATENATE(J$5,"-",J$6,$C13),Data!$C:$H,6,FALSE)</f>
        <v>#VALUE!</v>
      </c>
      <c r="K13" s="768" t="e">
        <f ca="1" xml:space="preserve">
VLOOKUP(CONCATENATE(K$5,"-",K$6,$C13),Data!$C:$H,6,FALSE)</f>
        <v>#VALUE!</v>
      </c>
      <c r="L13" s="768" t="e">
        <f ca="1" xml:space="preserve">
VLOOKUP(CONCATENATE(L$5,"-",L$6,$C13),Data!$C:$H,6,FALSE)</f>
        <v>#VALUE!</v>
      </c>
      <c r="M13" s="768" t="e">
        <f ca="1" xml:space="preserve">
VLOOKUP(CONCATENATE(M$5,"-",M$6,$C13),Data!$C:$H,6,FALSE)</f>
        <v>#VALUE!</v>
      </c>
      <c r="N13" s="768" t="e">
        <f ca="1" xml:space="preserve">
VLOOKUP(CONCATENATE(N$5,"-",N$6,$C13),Data!$C:$H,6,FALSE)</f>
        <v>#VALUE!</v>
      </c>
      <c r="O13" s="58"/>
      <c r="P13" s="31"/>
      <c r="Q13" s="26"/>
      <c r="R13" s="45"/>
      <c r="S13" s="79"/>
      <c r="T13" s="79"/>
      <c r="U13" s="79"/>
    </row>
    <row r="14" spans="1:27" s="13" customFormat="1" ht="15" customHeight="1" x14ac:dyDescent="0.25">
      <c r="A14" s="12"/>
      <c r="B14" s="14"/>
      <c r="C14" s="18"/>
      <c r="D14" s="18"/>
      <c r="E14" s="766">
        <v>5</v>
      </c>
      <c r="F14" s="766">
        <v>3</v>
      </c>
      <c r="G14" s="766">
        <v>5</v>
      </c>
      <c r="H14" s="766">
        <v>4</v>
      </c>
      <c r="I14" s="766">
        <v>4</v>
      </c>
      <c r="J14" s="766">
        <v>5</v>
      </c>
      <c r="K14" s="766">
        <v>3</v>
      </c>
      <c r="L14" s="767">
        <v>5</v>
      </c>
      <c r="M14" s="767">
        <v>6</v>
      </c>
      <c r="N14" s="767">
        <v>3</v>
      </c>
      <c r="O14" s="19"/>
      <c r="P14" s="15"/>
      <c r="Q14" s="12"/>
      <c r="R14" s="42"/>
      <c r="S14" s="80"/>
      <c r="T14" s="80"/>
      <c r="U14" s="80"/>
    </row>
    <row r="15" spans="1:27" s="13" customFormat="1" ht="18" customHeight="1" x14ac:dyDescent="0.25">
      <c r="A15" s="12"/>
      <c r="B15" s="12"/>
      <c r="C15" s="12"/>
      <c r="D15" s="16"/>
      <c r="E15" s="16"/>
      <c r="F15" s="16"/>
      <c r="G15" s="16"/>
      <c r="H15" s="16"/>
      <c r="I15" s="16"/>
      <c r="J15" s="16"/>
      <c r="K15" s="16"/>
      <c r="L15" s="12"/>
      <c r="M15" s="12"/>
      <c r="N15" s="12"/>
      <c r="O15" s="12"/>
      <c r="P15" s="12"/>
      <c r="Q15" s="12"/>
      <c r="R15" s="42"/>
      <c r="S15" s="80"/>
      <c r="T15" s="80"/>
      <c r="U15" s="80"/>
    </row>
  </sheetData>
  <sheetProtection sheet="1" objects="1" scenarios="1" formatCells="0" formatColumns="0" formatRows="0"/>
  <mergeCells count="2">
    <mergeCell ref="AA5:AA6"/>
    <mergeCell ref="U4:U9"/>
  </mergeCells>
  <conditionalFormatting sqref="E8:N13">
    <cfRule type="containsText" dxfId="86" priority="1" operator="containsText" text="1">
      <formula>NOT(ISERROR(SEARCH("1",E8)))</formula>
    </cfRule>
    <cfRule type="containsText" dxfId="85" priority="2" operator="containsText" text="2">
      <formula>NOT(ISERROR(SEARCH("2",E8)))</formula>
    </cfRule>
    <cfRule type="containsText" dxfId="84" priority="3" operator="containsText" text="3">
      <formula>NOT(ISERROR(SEARCH("3",E8)))</formula>
    </cfRule>
    <cfRule type="containsText" dxfId="83" priority="4" operator="containsText" text="4">
      <formula>NOT(ISERROR(SEARCH("4",E8)))</formula>
    </cfRule>
    <cfRule type="containsText" dxfId="82" priority="5" operator="containsText" text="0">
      <formula>NOT(ISERROR(SEARCH("0",E8)))</formula>
    </cfRule>
  </conditionalFormatting>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W86"/>
  <sheetViews>
    <sheetView zoomScale="80" zoomScaleNormal="80" workbookViewId="0"/>
  </sheetViews>
  <sheetFormatPr defaultColWidth="8.7265625" defaultRowHeight="13.8" x14ac:dyDescent="0.25"/>
  <cols>
    <col min="1" max="1" width="1.6328125" style="654" customWidth="1"/>
    <col min="2" max="2" width="8.7265625" style="654" customWidth="1"/>
    <col min="3" max="18" width="8.7265625" style="654"/>
    <col min="19" max="19" width="1.54296875" style="654" customWidth="1"/>
    <col min="20" max="21" width="8.7265625" style="654"/>
    <col min="22" max="22" width="80.6328125" style="654" customWidth="1"/>
    <col min="23" max="16384" width="8.7265625" style="654"/>
  </cols>
  <sheetData>
    <row r="1" spans="1:23" x14ac:dyDescent="0.25">
      <c r="A1" s="3"/>
      <c r="B1" s="3"/>
      <c r="C1" s="3"/>
      <c r="D1" s="3"/>
      <c r="E1" s="4"/>
      <c r="F1" s="4"/>
      <c r="G1" s="4"/>
      <c r="H1" s="4"/>
      <c r="I1" s="4"/>
      <c r="J1" s="4"/>
      <c r="K1" s="4"/>
      <c r="L1" s="3"/>
      <c r="M1" s="3"/>
      <c r="N1" s="3"/>
      <c r="O1" s="3"/>
      <c r="P1" s="3"/>
      <c r="Q1" s="3"/>
      <c r="R1" s="3"/>
      <c r="S1" s="3"/>
      <c r="U1" s="838"/>
      <c r="V1" s="838"/>
      <c r="W1" s="839"/>
    </row>
    <row r="2" spans="1:23" x14ac:dyDescent="0.25">
      <c r="A2" s="3"/>
      <c r="B2" s="826"/>
      <c r="C2" s="827"/>
      <c r="D2" s="827"/>
      <c r="E2" s="827"/>
      <c r="F2" s="827"/>
      <c r="G2" s="827"/>
      <c r="H2" s="827"/>
      <c r="I2" s="827"/>
      <c r="J2" s="827"/>
      <c r="K2" s="827"/>
      <c r="L2" s="827"/>
      <c r="M2" s="827"/>
      <c r="N2" s="827"/>
      <c r="O2" s="827"/>
      <c r="P2" s="827"/>
      <c r="Q2" s="827"/>
      <c r="R2" s="828"/>
      <c r="S2" s="3"/>
      <c r="U2" s="838"/>
      <c r="V2" s="911" t="s">
        <v>2307</v>
      </c>
      <c r="W2" s="839"/>
    </row>
    <row r="3" spans="1:23" x14ac:dyDescent="0.25">
      <c r="A3" s="3"/>
      <c r="B3" s="829"/>
      <c r="C3" s="830"/>
      <c r="D3" s="830"/>
      <c r="E3" s="830"/>
      <c r="F3" s="830"/>
      <c r="G3" s="830"/>
      <c r="H3" s="830"/>
      <c r="I3" s="830"/>
      <c r="J3" s="830"/>
      <c r="K3" s="830"/>
      <c r="L3" s="830"/>
      <c r="M3" s="830"/>
      <c r="N3" s="830"/>
      <c r="O3" s="830"/>
      <c r="P3" s="830"/>
      <c r="Q3" s="830"/>
      <c r="R3" s="831"/>
      <c r="S3" s="3"/>
      <c r="U3" s="838"/>
      <c r="V3" s="912"/>
      <c r="W3" s="839"/>
    </row>
    <row r="4" spans="1:23" x14ac:dyDescent="0.25">
      <c r="A4" s="3"/>
      <c r="B4" s="829"/>
      <c r="C4" s="830"/>
      <c r="D4" s="830"/>
      <c r="E4" s="830"/>
      <c r="F4" s="830"/>
      <c r="G4" s="830"/>
      <c r="H4" s="830"/>
      <c r="I4" s="830"/>
      <c r="J4" s="830"/>
      <c r="K4" s="830"/>
      <c r="L4" s="830"/>
      <c r="M4" s="830"/>
      <c r="N4" s="830"/>
      <c r="O4" s="830"/>
      <c r="P4" s="830"/>
      <c r="Q4" s="830"/>
      <c r="R4" s="831"/>
      <c r="S4" s="3"/>
      <c r="U4" s="838"/>
      <c r="V4" s="1295" t="s">
        <v>3064</v>
      </c>
      <c r="W4" s="839"/>
    </row>
    <row r="5" spans="1:23" x14ac:dyDescent="0.25">
      <c r="A5" s="3"/>
      <c r="B5" s="829"/>
      <c r="C5" s="830"/>
      <c r="D5" s="830"/>
      <c r="E5" s="830"/>
      <c r="F5" s="830"/>
      <c r="G5" s="830"/>
      <c r="H5" s="830"/>
      <c r="I5" s="830"/>
      <c r="J5" s="830"/>
      <c r="K5" s="830"/>
      <c r="L5" s="830"/>
      <c r="M5" s="830"/>
      <c r="N5" s="830"/>
      <c r="O5" s="830"/>
      <c r="P5" s="830"/>
      <c r="Q5" s="830"/>
      <c r="R5" s="831"/>
      <c r="S5" s="3"/>
      <c r="U5" s="838"/>
      <c r="V5" s="1295"/>
      <c r="W5" s="839"/>
    </row>
    <row r="6" spans="1:23" x14ac:dyDescent="0.25">
      <c r="A6" s="3"/>
      <c r="B6" s="829"/>
      <c r="C6" s="830"/>
      <c r="D6" s="830"/>
      <c r="E6" s="830"/>
      <c r="F6" s="830"/>
      <c r="G6" s="830"/>
      <c r="H6" s="830"/>
      <c r="I6" s="830"/>
      <c r="J6" s="830"/>
      <c r="K6" s="830"/>
      <c r="L6" s="830"/>
      <c r="M6" s="830"/>
      <c r="N6" s="830"/>
      <c r="O6" s="830"/>
      <c r="P6" s="830"/>
      <c r="Q6" s="830"/>
      <c r="R6" s="831"/>
      <c r="S6" s="3"/>
      <c r="U6" s="838"/>
      <c r="V6" s="1295"/>
      <c r="W6" s="838"/>
    </row>
    <row r="7" spans="1:23" x14ac:dyDescent="0.25">
      <c r="A7" s="3"/>
      <c r="B7" s="829"/>
      <c r="C7" s="830"/>
      <c r="D7" s="830"/>
      <c r="E7" s="830"/>
      <c r="F7" s="830"/>
      <c r="G7" s="830"/>
      <c r="H7" s="830"/>
      <c r="I7" s="830"/>
      <c r="J7" s="830"/>
      <c r="K7" s="830"/>
      <c r="L7" s="830"/>
      <c r="M7" s="830"/>
      <c r="N7" s="830"/>
      <c r="O7" s="830"/>
      <c r="P7" s="830"/>
      <c r="Q7" s="830"/>
      <c r="R7" s="831"/>
      <c r="S7" s="3"/>
      <c r="U7" s="838"/>
      <c r="V7" s="1295"/>
      <c r="W7" s="838"/>
    </row>
    <row r="8" spans="1:23" x14ac:dyDescent="0.25">
      <c r="A8" s="3"/>
      <c r="B8" s="829"/>
      <c r="C8" s="830"/>
      <c r="D8" s="830"/>
      <c r="E8" s="830"/>
      <c r="F8" s="830"/>
      <c r="G8" s="830"/>
      <c r="H8" s="830"/>
      <c r="I8" s="830"/>
      <c r="J8" s="830"/>
      <c r="K8" s="830"/>
      <c r="L8" s="830"/>
      <c r="M8" s="830"/>
      <c r="N8" s="830"/>
      <c r="O8" s="830"/>
      <c r="P8" s="830"/>
      <c r="Q8" s="830"/>
      <c r="R8" s="831"/>
      <c r="S8" s="3"/>
      <c r="U8" s="838"/>
      <c r="V8" s="1295"/>
      <c r="W8" s="838"/>
    </row>
    <row r="9" spans="1:23" x14ac:dyDescent="0.25">
      <c r="A9" s="3"/>
      <c r="B9" s="829"/>
      <c r="C9" s="830"/>
      <c r="D9" s="830"/>
      <c r="E9" s="830"/>
      <c r="F9" s="830"/>
      <c r="G9" s="830"/>
      <c r="H9" s="830"/>
      <c r="I9" s="830"/>
      <c r="J9" s="830"/>
      <c r="K9" s="830"/>
      <c r="L9" s="830"/>
      <c r="M9" s="830"/>
      <c r="N9" s="830"/>
      <c r="O9" s="830"/>
      <c r="P9" s="830"/>
      <c r="Q9" s="830"/>
      <c r="R9" s="831"/>
      <c r="S9" s="3"/>
      <c r="U9" s="838"/>
      <c r="V9" s="1295"/>
      <c r="W9" s="838"/>
    </row>
    <row r="10" spans="1:23" x14ac:dyDescent="0.25">
      <c r="A10" s="3"/>
      <c r="B10" s="829"/>
      <c r="C10" s="830"/>
      <c r="D10" s="830"/>
      <c r="E10" s="830"/>
      <c r="F10" s="830"/>
      <c r="G10" s="830"/>
      <c r="H10" s="830"/>
      <c r="I10" s="830"/>
      <c r="J10" s="830"/>
      <c r="K10" s="830"/>
      <c r="L10" s="830"/>
      <c r="M10" s="830"/>
      <c r="N10" s="830"/>
      <c r="O10" s="830"/>
      <c r="P10" s="830"/>
      <c r="Q10" s="830"/>
      <c r="R10" s="831"/>
      <c r="S10" s="3"/>
      <c r="U10" s="838"/>
      <c r="V10" s="1295"/>
      <c r="W10" s="838"/>
    </row>
    <row r="11" spans="1:23" x14ac:dyDescent="0.25">
      <c r="A11" s="3"/>
      <c r="B11" s="829"/>
      <c r="C11" s="830"/>
      <c r="D11" s="830"/>
      <c r="E11" s="830"/>
      <c r="F11" s="830"/>
      <c r="G11" s="830"/>
      <c r="H11" s="830"/>
      <c r="I11" s="830"/>
      <c r="J11" s="830"/>
      <c r="K11" s="830"/>
      <c r="L11" s="830"/>
      <c r="M11" s="830"/>
      <c r="N11" s="830"/>
      <c r="O11" s="830"/>
      <c r="P11" s="830"/>
      <c r="Q11" s="830"/>
      <c r="R11" s="831"/>
      <c r="S11" s="3"/>
      <c r="U11" s="838"/>
      <c r="V11" s="1295"/>
      <c r="W11" s="838"/>
    </row>
    <row r="12" spans="1:23" x14ac:dyDescent="0.25">
      <c r="A12" s="3"/>
      <c r="B12" s="829"/>
      <c r="C12" s="830"/>
      <c r="D12" s="830"/>
      <c r="E12" s="830"/>
      <c r="F12" s="830"/>
      <c r="G12" s="830"/>
      <c r="H12" s="830"/>
      <c r="I12" s="830"/>
      <c r="J12" s="830"/>
      <c r="K12" s="830"/>
      <c r="L12" s="830"/>
      <c r="M12" s="830"/>
      <c r="N12" s="830"/>
      <c r="O12" s="830"/>
      <c r="P12" s="830"/>
      <c r="Q12" s="830"/>
      <c r="R12" s="831"/>
      <c r="S12" s="3"/>
      <c r="U12" s="838"/>
      <c r="V12" s="1295"/>
      <c r="W12" s="838"/>
    </row>
    <row r="13" spans="1:23" x14ac:dyDescent="0.25">
      <c r="A13" s="3"/>
      <c r="B13" s="829"/>
      <c r="C13" s="830"/>
      <c r="D13" s="830"/>
      <c r="E13" s="830"/>
      <c r="F13" s="830"/>
      <c r="G13" s="830"/>
      <c r="H13" s="830"/>
      <c r="I13" s="830"/>
      <c r="J13" s="830"/>
      <c r="K13" s="830"/>
      <c r="L13" s="830"/>
      <c r="M13" s="830"/>
      <c r="N13" s="830"/>
      <c r="O13" s="830"/>
      <c r="P13" s="830"/>
      <c r="Q13" s="830"/>
      <c r="R13" s="831"/>
      <c r="S13" s="3"/>
      <c r="U13" s="838"/>
      <c r="V13" s="1295"/>
      <c r="W13" s="838"/>
    </row>
    <row r="14" spans="1:23" x14ac:dyDescent="0.25">
      <c r="A14" s="3"/>
      <c r="B14" s="829"/>
      <c r="C14" s="830"/>
      <c r="D14" s="830"/>
      <c r="E14" s="830"/>
      <c r="F14" s="830"/>
      <c r="G14" s="830"/>
      <c r="H14" s="830"/>
      <c r="I14" s="830"/>
      <c r="J14" s="830"/>
      <c r="K14" s="830"/>
      <c r="L14" s="830"/>
      <c r="M14" s="830"/>
      <c r="N14" s="830"/>
      <c r="O14" s="830"/>
      <c r="P14" s="830"/>
      <c r="Q14" s="830"/>
      <c r="R14" s="831"/>
      <c r="S14" s="3"/>
      <c r="U14" s="838"/>
      <c r="V14" s="1295"/>
      <c r="W14" s="838"/>
    </row>
    <row r="15" spans="1:23" x14ac:dyDescent="0.25">
      <c r="A15" s="3"/>
      <c r="B15" s="829"/>
      <c r="C15" s="830"/>
      <c r="D15" s="830"/>
      <c r="E15" s="830"/>
      <c r="F15" s="830"/>
      <c r="G15" s="830"/>
      <c r="H15" s="830"/>
      <c r="I15" s="830"/>
      <c r="J15" s="830"/>
      <c r="K15" s="830"/>
      <c r="L15" s="830"/>
      <c r="M15" s="830"/>
      <c r="N15" s="830"/>
      <c r="O15" s="830"/>
      <c r="P15" s="830"/>
      <c r="Q15" s="830"/>
      <c r="R15" s="831"/>
      <c r="S15" s="3"/>
      <c r="U15" s="838"/>
      <c r="V15" s="1295"/>
      <c r="W15" s="838"/>
    </row>
    <row r="16" spans="1:23" x14ac:dyDescent="0.25">
      <c r="A16" s="3"/>
      <c r="B16" s="829"/>
      <c r="C16" s="830"/>
      <c r="D16" s="830"/>
      <c r="E16" s="830"/>
      <c r="F16" s="830"/>
      <c r="G16" s="830"/>
      <c r="H16" s="830"/>
      <c r="I16" s="830"/>
      <c r="J16" s="830"/>
      <c r="K16" s="830"/>
      <c r="L16" s="830"/>
      <c r="M16" s="830"/>
      <c r="N16" s="830"/>
      <c r="O16" s="830"/>
      <c r="P16" s="830"/>
      <c r="Q16" s="830"/>
      <c r="R16" s="831"/>
      <c r="S16" s="3"/>
      <c r="U16" s="838"/>
      <c r="V16" s="1296"/>
      <c r="W16" s="838"/>
    </row>
    <row r="17" spans="1:23" x14ac:dyDescent="0.25">
      <c r="A17" s="3"/>
      <c r="B17" s="829"/>
      <c r="C17" s="830"/>
      <c r="D17" s="830"/>
      <c r="E17" s="830"/>
      <c r="F17" s="830"/>
      <c r="G17" s="830"/>
      <c r="H17" s="830"/>
      <c r="I17" s="830"/>
      <c r="J17" s="830"/>
      <c r="K17" s="830"/>
      <c r="L17" s="830"/>
      <c r="M17" s="830"/>
      <c r="N17" s="830"/>
      <c r="O17" s="830"/>
      <c r="P17" s="830"/>
      <c r="Q17" s="830"/>
      <c r="R17" s="831"/>
      <c r="S17" s="3"/>
      <c r="U17" s="838"/>
      <c r="V17" s="838"/>
      <c r="W17" s="838"/>
    </row>
    <row r="18" spans="1:23" x14ac:dyDescent="0.25">
      <c r="A18" s="3"/>
      <c r="B18" s="829"/>
      <c r="C18" s="830"/>
      <c r="D18" s="830"/>
      <c r="E18" s="830"/>
      <c r="F18" s="830"/>
      <c r="G18" s="830"/>
      <c r="H18" s="830"/>
      <c r="I18" s="830"/>
      <c r="J18" s="830"/>
      <c r="K18" s="830"/>
      <c r="L18" s="830"/>
      <c r="M18" s="830"/>
      <c r="N18" s="830"/>
      <c r="O18" s="830"/>
      <c r="P18" s="830"/>
      <c r="Q18" s="830"/>
      <c r="R18" s="831"/>
      <c r="S18" s="3"/>
    </row>
    <row r="19" spans="1:23" x14ac:dyDescent="0.25">
      <c r="A19" s="3"/>
      <c r="B19" s="829"/>
      <c r="C19" s="830"/>
      <c r="D19" s="830"/>
      <c r="E19" s="830"/>
      <c r="F19" s="830"/>
      <c r="G19" s="830"/>
      <c r="H19" s="830"/>
      <c r="I19" s="830"/>
      <c r="J19" s="830"/>
      <c r="K19" s="830"/>
      <c r="L19" s="830"/>
      <c r="M19" s="830"/>
      <c r="N19" s="830"/>
      <c r="O19" s="830"/>
      <c r="P19" s="830"/>
      <c r="Q19" s="830"/>
      <c r="R19" s="831"/>
      <c r="S19" s="3"/>
    </row>
    <row r="20" spans="1:23" x14ac:dyDescent="0.25">
      <c r="A20" s="3"/>
      <c r="B20" s="829"/>
      <c r="C20" s="830"/>
      <c r="D20" s="830"/>
      <c r="E20" s="830"/>
      <c r="F20" s="830"/>
      <c r="G20" s="830"/>
      <c r="H20" s="830"/>
      <c r="I20" s="830"/>
      <c r="J20" s="830"/>
      <c r="K20" s="830"/>
      <c r="L20" s="830"/>
      <c r="M20" s="830"/>
      <c r="N20" s="830"/>
      <c r="O20" s="830"/>
      <c r="P20" s="830"/>
      <c r="Q20" s="830"/>
      <c r="R20" s="831"/>
      <c r="S20" s="3"/>
    </row>
    <row r="21" spans="1:23" x14ac:dyDescent="0.25">
      <c r="A21" s="3"/>
      <c r="B21" s="829"/>
      <c r="C21" s="830"/>
      <c r="D21" s="830"/>
      <c r="E21" s="830"/>
      <c r="F21" s="830"/>
      <c r="G21" s="830"/>
      <c r="H21" s="830"/>
      <c r="I21" s="830"/>
      <c r="J21" s="830"/>
      <c r="K21" s="830"/>
      <c r="L21" s="830"/>
      <c r="M21" s="830"/>
      <c r="N21" s="830"/>
      <c r="O21" s="830"/>
      <c r="P21" s="830"/>
      <c r="Q21" s="830"/>
      <c r="R21" s="831"/>
      <c r="S21" s="3"/>
    </row>
    <row r="22" spans="1:23" x14ac:dyDescent="0.25">
      <c r="A22" s="3"/>
      <c r="B22" s="829"/>
      <c r="C22" s="830"/>
      <c r="D22" s="830"/>
      <c r="E22" s="830"/>
      <c r="F22" s="830"/>
      <c r="G22" s="830"/>
      <c r="H22" s="830"/>
      <c r="I22" s="830"/>
      <c r="J22" s="830"/>
      <c r="K22" s="830"/>
      <c r="L22" s="830"/>
      <c r="M22" s="830"/>
      <c r="N22" s="830"/>
      <c r="O22" s="830"/>
      <c r="P22" s="830"/>
      <c r="Q22" s="830"/>
      <c r="R22" s="831"/>
      <c r="S22" s="3"/>
    </row>
    <row r="23" spans="1:23" x14ac:dyDescent="0.25">
      <c r="A23" s="3"/>
      <c r="B23" s="829"/>
      <c r="C23" s="830"/>
      <c r="D23" s="830"/>
      <c r="E23" s="830"/>
      <c r="F23" s="830"/>
      <c r="G23" s="830"/>
      <c r="H23" s="830"/>
      <c r="I23" s="830"/>
      <c r="J23" s="830"/>
      <c r="K23" s="830"/>
      <c r="L23" s="830"/>
      <c r="M23" s="830"/>
      <c r="N23" s="830"/>
      <c r="O23" s="830"/>
      <c r="P23" s="830"/>
      <c r="Q23" s="830"/>
      <c r="R23" s="831"/>
      <c r="S23" s="3"/>
    </row>
    <row r="24" spans="1:23" x14ac:dyDescent="0.25">
      <c r="A24" s="3"/>
      <c r="B24" s="829"/>
      <c r="C24" s="830"/>
      <c r="D24" s="830"/>
      <c r="E24" s="830"/>
      <c r="F24" s="830"/>
      <c r="G24" s="830"/>
      <c r="H24" s="830"/>
      <c r="I24" s="830"/>
      <c r="J24" s="830"/>
      <c r="K24" s="830"/>
      <c r="L24" s="830"/>
      <c r="M24" s="830"/>
      <c r="N24" s="830"/>
      <c r="O24" s="830"/>
      <c r="P24" s="830"/>
      <c r="Q24" s="830"/>
      <c r="R24" s="831"/>
      <c r="S24" s="3"/>
    </row>
    <row r="25" spans="1:23" x14ac:dyDescent="0.25">
      <c r="A25" s="3"/>
      <c r="B25" s="829"/>
      <c r="C25" s="830"/>
      <c r="D25" s="830"/>
      <c r="E25" s="830"/>
      <c r="F25" s="830"/>
      <c r="G25" s="830"/>
      <c r="H25" s="830"/>
      <c r="I25" s="830"/>
      <c r="J25" s="830"/>
      <c r="K25" s="830"/>
      <c r="L25" s="830"/>
      <c r="M25" s="830"/>
      <c r="N25" s="830"/>
      <c r="O25" s="830"/>
      <c r="P25" s="830"/>
      <c r="Q25" s="830"/>
      <c r="R25" s="831"/>
      <c r="S25" s="3"/>
    </row>
    <row r="26" spans="1:23" x14ac:dyDescent="0.25">
      <c r="A26" s="3"/>
      <c r="B26" s="829"/>
      <c r="C26" s="830"/>
      <c r="D26" s="830"/>
      <c r="E26" s="830"/>
      <c r="F26" s="830"/>
      <c r="G26" s="830"/>
      <c r="H26" s="830"/>
      <c r="I26" s="830"/>
      <c r="J26" s="830"/>
      <c r="K26" s="830"/>
      <c r="L26" s="830"/>
      <c r="M26" s="830"/>
      <c r="N26" s="830"/>
      <c r="O26" s="830"/>
      <c r="P26" s="830"/>
      <c r="Q26" s="830"/>
      <c r="R26" s="831"/>
      <c r="S26" s="3"/>
    </row>
    <row r="27" spans="1:23" x14ac:dyDescent="0.25">
      <c r="A27" s="3"/>
      <c r="B27" s="829"/>
      <c r="C27" s="830"/>
      <c r="D27" s="830"/>
      <c r="E27" s="830"/>
      <c r="F27" s="830"/>
      <c r="G27" s="830"/>
      <c r="H27" s="830"/>
      <c r="I27" s="830"/>
      <c r="J27" s="830"/>
      <c r="K27" s="830"/>
      <c r="L27" s="830"/>
      <c r="M27" s="830"/>
      <c r="N27" s="830"/>
      <c r="O27" s="830"/>
      <c r="P27" s="830"/>
      <c r="Q27" s="830"/>
      <c r="R27" s="831"/>
      <c r="S27" s="3"/>
    </row>
    <row r="28" spans="1:23" x14ac:dyDescent="0.25">
      <c r="A28" s="3"/>
      <c r="B28" s="829"/>
      <c r="C28" s="830"/>
      <c r="D28" s="830"/>
      <c r="E28" s="830"/>
      <c r="F28" s="830"/>
      <c r="G28" s="830"/>
      <c r="H28" s="830"/>
      <c r="I28" s="830"/>
      <c r="J28" s="830"/>
      <c r="K28" s="830"/>
      <c r="L28" s="830"/>
      <c r="M28" s="830"/>
      <c r="N28" s="830"/>
      <c r="O28" s="830"/>
      <c r="P28" s="830"/>
      <c r="Q28" s="830"/>
      <c r="R28" s="831"/>
      <c r="S28" s="3"/>
    </row>
    <row r="29" spans="1:23" x14ac:dyDescent="0.25">
      <c r="A29" s="3"/>
      <c r="B29" s="829"/>
      <c r="C29" s="830"/>
      <c r="D29" s="830"/>
      <c r="E29" s="830"/>
      <c r="F29" s="830"/>
      <c r="G29" s="830"/>
      <c r="H29" s="830"/>
      <c r="I29" s="830"/>
      <c r="J29" s="830"/>
      <c r="K29" s="830"/>
      <c r="L29" s="830"/>
      <c r="M29" s="830"/>
      <c r="N29" s="830"/>
      <c r="O29" s="830"/>
      <c r="P29" s="830"/>
      <c r="Q29" s="830"/>
      <c r="R29" s="831"/>
      <c r="S29" s="3"/>
    </row>
    <row r="30" spans="1:23" x14ac:dyDescent="0.25">
      <c r="A30" s="3"/>
      <c r="B30" s="829"/>
      <c r="C30" s="830"/>
      <c r="D30" s="830"/>
      <c r="E30" s="830"/>
      <c r="F30" s="830"/>
      <c r="G30" s="830"/>
      <c r="H30" s="830"/>
      <c r="I30" s="830"/>
      <c r="J30" s="830"/>
      <c r="K30" s="830"/>
      <c r="L30" s="830"/>
      <c r="M30" s="830"/>
      <c r="N30" s="830"/>
      <c r="O30" s="830"/>
      <c r="P30" s="830"/>
      <c r="Q30" s="830"/>
      <c r="R30" s="831"/>
      <c r="S30" s="3"/>
      <c r="V30" s="852"/>
    </row>
    <row r="31" spans="1:23" x14ac:dyDescent="0.25">
      <c r="A31" s="3"/>
      <c r="B31" s="829"/>
      <c r="C31" s="830"/>
      <c r="D31" s="830"/>
      <c r="E31" s="830"/>
      <c r="F31" s="830"/>
      <c r="G31" s="830"/>
      <c r="H31" s="830"/>
      <c r="I31" s="830"/>
      <c r="J31" s="830"/>
      <c r="K31" s="830"/>
      <c r="L31" s="830"/>
      <c r="M31" s="830"/>
      <c r="N31" s="830"/>
      <c r="O31" s="830"/>
      <c r="P31" s="830"/>
      <c r="Q31" s="830"/>
      <c r="R31" s="831"/>
      <c r="S31" s="3"/>
    </row>
    <row r="32" spans="1:23" x14ac:dyDescent="0.25">
      <c r="A32" s="3"/>
      <c r="B32" s="829"/>
      <c r="C32" s="830"/>
      <c r="D32" s="830"/>
      <c r="E32" s="830"/>
      <c r="F32" s="830"/>
      <c r="G32" s="830"/>
      <c r="H32" s="830"/>
      <c r="I32" s="830"/>
      <c r="J32" s="830"/>
      <c r="K32" s="830"/>
      <c r="L32" s="830"/>
      <c r="M32" s="830"/>
      <c r="N32" s="830"/>
      <c r="O32" s="830"/>
      <c r="P32" s="830"/>
      <c r="Q32" s="830"/>
      <c r="R32" s="831"/>
      <c r="S32" s="3"/>
    </row>
    <row r="33" spans="1:19" x14ac:dyDescent="0.25">
      <c r="A33" s="3"/>
      <c r="B33" s="829"/>
      <c r="C33" s="830"/>
      <c r="D33" s="830"/>
      <c r="E33" s="830"/>
      <c r="F33" s="830"/>
      <c r="G33" s="830"/>
      <c r="H33" s="830"/>
      <c r="I33" s="830"/>
      <c r="J33" s="830"/>
      <c r="K33" s="830"/>
      <c r="L33" s="830"/>
      <c r="M33" s="830"/>
      <c r="N33" s="830"/>
      <c r="O33" s="830"/>
      <c r="P33" s="830"/>
      <c r="Q33" s="830"/>
      <c r="R33" s="831"/>
      <c r="S33" s="3"/>
    </row>
    <row r="34" spans="1:19" x14ac:dyDescent="0.25">
      <c r="A34" s="3"/>
      <c r="B34" s="829"/>
      <c r="C34" s="830"/>
      <c r="D34" s="830"/>
      <c r="E34" s="830"/>
      <c r="F34" s="830"/>
      <c r="G34" s="830"/>
      <c r="H34" s="830"/>
      <c r="I34" s="830"/>
      <c r="J34" s="830"/>
      <c r="K34" s="830"/>
      <c r="L34" s="830"/>
      <c r="M34" s="830"/>
      <c r="N34" s="830"/>
      <c r="O34" s="830"/>
      <c r="P34" s="830"/>
      <c r="Q34" s="830"/>
      <c r="R34" s="831"/>
      <c r="S34" s="3"/>
    </row>
    <row r="35" spans="1:19" x14ac:dyDescent="0.25">
      <c r="A35" s="3"/>
      <c r="B35" s="829"/>
      <c r="C35" s="830"/>
      <c r="D35" s="830"/>
      <c r="E35" s="830"/>
      <c r="F35" s="830"/>
      <c r="G35" s="830"/>
      <c r="H35" s="830"/>
      <c r="I35" s="830"/>
      <c r="J35" s="830"/>
      <c r="K35" s="830"/>
      <c r="L35" s="830"/>
      <c r="M35" s="830"/>
      <c r="N35" s="830"/>
      <c r="O35" s="830"/>
      <c r="P35" s="830"/>
      <c r="Q35" s="830"/>
      <c r="R35" s="831"/>
      <c r="S35" s="3"/>
    </row>
    <row r="36" spans="1:19" x14ac:dyDescent="0.25">
      <c r="A36" s="3"/>
      <c r="B36" s="829"/>
      <c r="C36" s="830"/>
      <c r="D36" s="830"/>
      <c r="E36" s="830"/>
      <c r="F36" s="830"/>
      <c r="G36" s="830"/>
      <c r="H36" s="830"/>
      <c r="I36" s="830"/>
      <c r="J36" s="830"/>
      <c r="K36" s="830"/>
      <c r="L36" s="830"/>
      <c r="M36" s="830"/>
      <c r="N36" s="830"/>
      <c r="O36" s="830"/>
      <c r="P36" s="830"/>
      <c r="Q36" s="830"/>
      <c r="R36" s="831"/>
      <c r="S36" s="3"/>
    </row>
    <row r="37" spans="1:19" x14ac:dyDescent="0.25">
      <c r="A37" s="3"/>
      <c r="B37" s="829"/>
      <c r="C37" s="830"/>
      <c r="D37" s="830"/>
      <c r="E37" s="830"/>
      <c r="F37" s="830"/>
      <c r="G37" s="830"/>
      <c r="H37" s="830"/>
      <c r="I37" s="830"/>
      <c r="J37" s="830"/>
      <c r="K37" s="830"/>
      <c r="L37" s="830"/>
      <c r="M37" s="830"/>
      <c r="N37" s="830"/>
      <c r="O37" s="830"/>
      <c r="P37" s="830"/>
      <c r="Q37" s="830"/>
      <c r="R37" s="831"/>
      <c r="S37" s="3"/>
    </row>
    <row r="38" spans="1:19" x14ac:dyDescent="0.25">
      <c r="A38" s="3"/>
      <c r="B38" s="829"/>
      <c r="C38" s="830"/>
      <c r="D38" s="830"/>
      <c r="E38" s="830"/>
      <c r="F38" s="830"/>
      <c r="G38" s="830"/>
      <c r="H38" s="830"/>
      <c r="I38" s="830"/>
      <c r="J38" s="830"/>
      <c r="K38" s="830"/>
      <c r="L38" s="830"/>
      <c r="M38" s="830"/>
      <c r="N38" s="830"/>
      <c r="O38" s="830"/>
      <c r="P38" s="830"/>
      <c r="Q38" s="830"/>
      <c r="R38" s="831"/>
      <c r="S38" s="3"/>
    </row>
    <row r="39" spans="1:19" x14ac:dyDescent="0.25">
      <c r="A39" s="3"/>
      <c r="B39" s="829"/>
      <c r="C39" s="830"/>
      <c r="D39" s="830"/>
      <c r="E39" s="830"/>
      <c r="F39" s="830"/>
      <c r="G39" s="830"/>
      <c r="H39" s="830"/>
      <c r="I39" s="830"/>
      <c r="J39" s="830"/>
      <c r="K39" s="830"/>
      <c r="L39" s="830"/>
      <c r="M39" s="830"/>
      <c r="N39" s="830"/>
      <c r="O39" s="830"/>
      <c r="P39" s="830"/>
      <c r="Q39" s="830"/>
      <c r="R39" s="831"/>
      <c r="S39" s="3"/>
    </row>
    <row r="40" spans="1:19" x14ac:dyDescent="0.25">
      <c r="A40" s="3"/>
      <c r="B40" s="829"/>
      <c r="C40" s="830"/>
      <c r="D40" s="830"/>
      <c r="E40" s="830"/>
      <c r="F40" s="830"/>
      <c r="G40" s="830"/>
      <c r="H40" s="830"/>
      <c r="I40" s="830"/>
      <c r="J40" s="830"/>
      <c r="K40" s="830"/>
      <c r="L40" s="830"/>
      <c r="M40" s="830"/>
      <c r="N40" s="830"/>
      <c r="O40" s="830"/>
      <c r="P40" s="830"/>
      <c r="Q40" s="830"/>
      <c r="R40" s="831"/>
      <c r="S40" s="3"/>
    </row>
    <row r="41" spans="1:19" x14ac:dyDescent="0.25">
      <c r="A41" s="3"/>
      <c r="B41" s="829"/>
      <c r="C41" s="830"/>
      <c r="D41" s="830"/>
      <c r="E41" s="830"/>
      <c r="F41" s="830"/>
      <c r="G41" s="830"/>
      <c r="H41" s="830"/>
      <c r="I41" s="830"/>
      <c r="J41" s="830"/>
      <c r="K41" s="830"/>
      <c r="L41" s="830"/>
      <c r="M41" s="830"/>
      <c r="N41" s="830"/>
      <c r="O41" s="830"/>
      <c r="P41" s="830"/>
      <c r="Q41" s="830"/>
      <c r="R41" s="831"/>
      <c r="S41" s="3"/>
    </row>
    <row r="42" spans="1:19" x14ac:dyDescent="0.25">
      <c r="A42" s="3"/>
      <c r="B42" s="829"/>
      <c r="C42" s="830"/>
      <c r="D42" s="830"/>
      <c r="E42" s="830"/>
      <c r="F42" s="830"/>
      <c r="G42" s="830"/>
      <c r="H42" s="830"/>
      <c r="I42" s="830"/>
      <c r="J42" s="830"/>
      <c r="K42" s="830"/>
      <c r="L42" s="830"/>
      <c r="M42" s="830"/>
      <c r="N42" s="830"/>
      <c r="O42" s="830"/>
      <c r="P42" s="830"/>
      <c r="Q42" s="830"/>
      <c r="R42" s="831"/>
      <c r="S42" s="3"/>
    </row>
    <row r="43" spans="1:19" x14ac:dyDescent="0.25">
      <c r="A43" s="3"/>
      <c r="B43" s="829"/>
      <c r="C43" s="830"/>
      <c r="D43" s="830"/>
      <c r="E43" s="830"/>
      <c r="F43" s="830"/>
      <c r="G43" s="830"/>
      <c r="H43" s="830"/>
      <c r="I43" s="830"/>
      <c r="J43" s="830"/>
      <c r="K43" s="830"/>
      <c r="L43" s="830"/>
      <c r="M43" s="830"/>
      <c r="N43" s="830"/>
      <c r="O43" s="830"/>
      <c r="P43" s="830"/>
      <c r="Q43" s="830"/>
      <c r="R43" s="831"/>
      <c r="S43" s="3"/>
    </row>
    <row r="44" spans="1:19" x14ac:dyDescent="0.25">
      <c r="A44" s="3"/>
      <c r="B44" s="829"/>
      <c r="C44" s="830"/>
      <c r="D44" s="830"/>
      <c r="E44" s="830"/>
      <c r="F44" s="830"/>
      <c r="G44" s="830"/>
      <c r="H44" s="830"/>
      <c r="I44" s="830"/>
      <c r="J44" s="830"/>
      <c r="K44" s="830"/>
      <c r="L44" s="830"/>
      <c r="M44" s="830"/>
      <c r="N44" s="830"/>
      <c r="O44" s="830"/>
      <c r="P44" s="830"/>
      <c r="Q44" s="830"/>
      <c r="R44" s="831"/>
      <c r="S44" s="3"/>
    </row>
    <row r="45" spans="1:19" x14ac:dyDescent="0.25">
      <c r="A45" s="3"/>
      <c r="B45" s="829"/>
      <c r="C45" s="830"/>
      <c r="D45" s="830"/>
      <c r="E45" s="830"/>
      <c r="F45" s="830"/>
      <c r="G45" s="830"/>
      <c r="H45" s="830"/>
      <c r="I45" s="830"/>
      <c r="J45" s="830"/>
      <c r="K45" s="830"/>
      <c r="L45" s="830"/>
      <c r="M45" s="830"/>
      <c r="N45" s="830"/>
      <c r="O45" s="830"/>
      <c r="P45" s="830"/>
      <c r="Q45" s="830"/>
      <c r="R45" s="831"/>
      <c r="S45" s="3"/>
    </row>
    <row r="46" spans="1:19" x14ac:dyDescent="0.25">
      <c r="A46" s="3"/>
      <c r="B46" s="829"/>
      <c r="C46" s="830"/>
      <c r="D46" s="830"/>
      <c r="E46" s="830"/>
      <c r="F46" s="830"/>
      <c r="G46" s="830"/>
      <c r="H46" s="830"/>
      <c r="I46" s="830"/>
      <c r="J46" s="830"/>
      <c r="K46" s="830"/>
      <c r="L46" s="830"/>
      <c r="M46" s="830"/>
      <c r="N46" s="830"/>
      <c r="O46" s="830"/>
      <c r="P46" s="830"/>
      <c r="Q46" s="830"/>
      <c r="R46" s="831"/>
      <c r="S46" s="3"/>
    </row>
    <row r="47" spans="1:19" x14ac:dyDescent="0.25">
      <c r="A47" s="3"/>
      <c r="B47" s="829"/>
      <c r="C47" s="830"/>
      <c r="D47" s="830"/>
      <c r="E47" s="830"/>
      <c r="F47" s="830"/>
      <c r="G47" s="830"/>
      <c r="H47" s="830"/>
      <c r="I47" s="830"/>
      <c r="J47" s="830"/>
      <c r="K47" s="830"/>
      <c r="L47" s="830"/>
      <c r="M47" s="830"/>
      <c r="N47" s="830"/>
      <c r="O47" s="830"/>
      <c r="P47" s="830"/>
      <c r="Q47" s="830"/>
      <c r="R47" s="831"/>
      <c r="S47" s="3"/>
    </row>
    <row r="48" spans="1:19" x14ac:dyDescent="0.25">
      <c r="A48" s="3"/>
      <c r="B48" s="829"/>
      <c r="C48" s="830"/>
      <c r="D48" s="830"/>
      <c r="E48" s="830"/>
      <c r="F48" s="830"/>
      <c r="G48" s="830"/>
      <c r="H48" s="830"/>
      <c r="I48" s="830"/>
      <c r="J48" s="830"/>
      <c r="K48" s="830"/>
      <c r="L48" s="830"/>
      <c r="M48" s="830"/>
      <c r="N48" s="830"/>
      <c r="O48" s="830"/>
      <c r="P48" s="830"/>
      <c r="Q48" s="830"/>
      <c r="R48" s="831"/>
      <c r="S48" s="3"/>
    </row>
    <row r="49" spans="1:19" x14ac:dyDescent="0.25">
      <c r="A49" s="3"/>
      <c r="B49" s="829"/>
      <c r="C49" s="830"/>
      <c r="D49" s="830"/>
      <c r="E49" s="830"/>
      <c r="F49" s="830"/>
      <c r="G49" s="830"/>
      <c r="H49" s="830"/>
      <c r="I49" s="830"/>
      <c r="J49" s="830"/>
      <c r="K49" s="830"/>
      <c r="L49" s="830"/>
      <c r="M49" s="830"/>
      <c r="N49" s="830"/>
      <c r="O49" s="830"/>
      <c r="P49" s="830"/>
      <c r="Q49" s="830"/>
      <c r="R49" s="831"/>
      <c r="S49" s="3"/>
    </row>
    <row r="50" spans="1:19" x14ac:dyDescent="0.25">
      <c r="A50" s="3"/>
      <c r="B50" s="829"/>
      <c r="C50" s="830"/>
      <c r="D50" s="830"/>
      <c r="E50" s="830"/>
      <c r="F50" s="830"/>
      <c r="G50" s="830"/>
      <c r="H50" s="830"/>
      <c r="I50" s="830"/>
      <c r="J50" s="830"/>
      <c r="K50" s="830"/>
      <c r="L50" s="830"/>
      <c r="M50" s="830"/>
      <c r="N50" s="830"/>
      <c r="O50" s="830"/>
      <c r="P50" s="830"/>
      <c r="Q50" s="830"/>
      <c r="R50" s="831"/>
      <c r="S50" s="3"/>
    </row>
    <row r="51" spans="1:19" x14ac:dyDescent="0.25">
      <c r="A51" s="3"/>
      <c r="B51" s="829"/>
      <c r="C51" s="830"/>
      <c r="D51" s="830"/>
      <c r="E51" s="830"/>
      <c r="F51" s="830"/>
      <c r="G51" s="830"/>
      <c r="H51" s="830"/>
      <c r="I51" s="830"/>
      <c r="J51" s="830"/>
      <c r="K51" s="830"/>
      <c r="L51" s="830"/>
      <c r="M51" s="830"/>
      <c r="N51" s="830"/>
      <c r="O51" s="830"/>
      <c r="P51" s="830"/>
      <c r="Q51" s="830"/>
      <c r="R51" s="831"/>
      <c r="S51" s="3"/>
    </row>
    <row r="52" spans="1:19" x14ac:dyDescent="0.25">
      <c r="A52" s="3"/>
      <c r="B52" s="829"/>
      <c r="C52" s="830"/>
      <c r="D52" s="830"/>
      <c r="E52" s="830"/>
      <c r="F52" s="830"/>
      <c r="G52" s="830"/>
      <c r="H52" s="830"/>
      <c r="I52" s="830"/>
      <c r="J52" s="830"/>
      <c r="K52" s="830"/>
      <c r="L52" s="830"/>
      <c r="M52" s="830"/>
      <c r="N52" s="830"/>
      <c r="O52" s="830"/>
      <c r="P52" s="830"/>
      <c r="Q52" s="830"/>
      <c r="R52" s="831"/>
      <c r="S52" s="3"/>
    </row>
    <row r="53" spans="1:19" x14ac:dyDescent="0.25">
      <c r="A53" s="3"/>
      <c r="B53" s="829"/>
      <c r="C53" s="830"/>
      <c r="D53" s="830"/>
      <c r="E53" s="830"/>
      <c r="F53" s="830"/>
      <c r="G53" s="830"/>
      <c r="H53" s="830"/>
      <c r="I53" s="830"/>
      <c r="J53" s="830"/>
      <c r="K53" s="830"/>
      <c r="L53" s="830"/>
      <c r="M53" s="830"/>
      <c r="N53" s="830"/>
      <c r="O53" s="830"/>
      <c r="P53" s="830"/>
      <c r="Q53" s="830"/>
      <c r="R53" s="831"/>
      <c r="S53" s="3"/>
    </row>
    <row r="54" spans="1:19" x14ac:dyDescent="0.25">
      <c r="A54" s="3"/>
      <c r="B54" s="829"/>
      <c r="C54" s="830"/>
      <c r="D54" s="830"/>
      <c r="E54" s="830"/>
      <c r="F54" s="830"/>
      <c r="G54" s="830"/>
      <c r="H54" s="830"/>
      <c r="I54" s="830"/>
      <c r="J54" s="830"/>
      <c r="K54" s="830"/>
      <c r="L54" s="830"/>
      <c r="M54" s="830"/>
      <c r="N54" s="830"/>
      <c r="O54" s="830"/>
      <c r="P54" s="830"/>
      <c r="Q54" s="830"/>
      <c r="R54" s="831"/>
      <c r="S54" s="3"/>
    </row>
    <row r="55" spans="1:19" x14ac:dyDescent="0.25">
      <c r="A55" s="3"/>
      <c r="B55" s="829"/>
      <c r="C55" s="830"/>
      <c r="D55" s="830"/>
      <c r="E55" s="830"/>
      <c r="F55" s="830"/>
      <c r="G55" s="830"/>
      <c r="H55" s="830"/>
      <c r="I55" s="830"/>
      <c r="J55" s="830"/>
      <c r="K55" s="830"/>
      <c r="L55" s="830"/>
      <c r="M55" s="830"/>
      <c r="N55" s="830"/>
      <c r="O55" s="830"/>
      <c r="P55" s="830"/>
      <c r="Q55" s="830"/>
      <c r="R55" s="831"/>
      <c r="S55" s="3"/>
    </row>
    <row r="56" spans="1:19" x14ac:dyDescent="0.25">
      <c r="A56" s="3"/>
      <c r="B56" s="829"/>
      <c r="C56" s="830"/>
      <c r="D56" s="830"/>
      <c r="E56" s="830"/>
      <c r="F56" s="830"/>
      <c r="G56" s="830"/>
      <c r="H56" s="830"/>
      <c r="I56" s="830"/>
      <c r="J56" s="830"/>
      <c r="K56" s="830"/>
      <c r="L56" s="830"/>
      <c r="M56" s="830"/>
      <c r="N56" s="830"/>
      <c r="O56" s="830"/>
      <c r="P56" s="830"/>
      <c r="Q56" s="830"/>
      <c r="R56" s="831"/>
      <c r="S56" s="3"/>
    </row>
    <row r="57" spans="1:19" x14ac:dyDescent="0.25">
      <c r="A57" s="3"/>
      <c r="B57" s="829"/>
      <c r="C57" s="830"/>
      <c r="D57" s="830"/>
      <c r="E57" s="830"/>
      <c r="F57" s="830"/>
      <c r="G57" s="830"/>
      <c r="H57" s="830"/>
      <c r="I57" s="830"/>
      <c r="J57" s="830"/>
      <c r="K57" s="830"/>
      <c r="L57" s="830"/>
      <c r="M57" s="830"/>
      <c r="N57" s="830"/>
      <c r="O57" s="830"/>
      <c r="P57" s="830"/>
      <c r="Q57" s="830"/>
      <c r="R57" s="831"/>
      <c r="S57" s="3"/>
    </row>
    <row r="58" spans="1:19" x14ac:dyDescent="0.25">
      <c r="A58" s="3"/>
      <c r="B58" s="829"/>
      <c r="C58" s="830"/>
      <c r="D58" s="830"/>
      <c r="E58" s="830"/>
      <c r="F58" s="830"/>
      <c r="G58" s="830"/>
      <c r="H58" s="830"/>
      <c r="I58" s="830"/>
      <c r="J58" s="830"/>
      <c r="K58" s="830"/>
      <c r="L58" s="830"/>
      <c r="M58" s="830"/>
      <c r="N58" s="830"/>
      <c r="O58" s="830"/>
      <c r="P58" s="830"/>
      <c r="Q58" s="830"/>
      <c r="R58" s="831"/>
      <c r="S58" s="3"/>
    </row>
    <row r="59" spans="1:19" x14ac:dyDescent="0.25">
      <c r="A59" s="3"/>
      <c r="B59" s="829"/>
      <c r="C59" s="830"/>
      <c r="D59" s="830"/>
      <c r="E59" s="830"/>
      <c r="F59" s="830"/>
      <c r="G59" s="830"/>
      <c r="H59" s="830"/>
      <c r="I59" s="830"/>
      <c r="J59" s="830"/>
      <c r="K59" s="830"/>
      <c r="L59" s="830"/>
      <c r="M59" s="830"/>
      <c r="N59" s="830"/>
      <c r="O59" s="830"/>
      <c r="P59" s="830"/>
      <c r="Q59" s="830"/>
      <c r="R59" s="831"/>
      <c r="S59" s="3"/>
    </row>
    <row r="60" spans="1:19" x14ac:dyDescent="0.25">
      <c r="A60" s="3"/>
      <c r="B60" s="829"/>
      <c r="C60" s="830"/>
      <c r="D60" s="830"/>
      <c r="E60" s="830"/>
      <c r="F60" s="830"/>
      <c r="G60" s="830"/>
      <c r="H60" s="830"/>
      <c r="I60" s="830"/>
      <c r="J60" s="830"/>
      <c r="K60" s="830"/>
      <c r="L60" s="830"/>
      <c r="M60" s="830"/>
      <c r="N60" s="830"/>
      <c r="O60" s="830"/>
      <c r="P60" s="830"/>
      <c r="Q60" s="830"/>
      <c r="R60" s="831"/>
      <c r="S60" s="3"/>
    </row>
    <row r="61" spans="1:19" x14ac:dyDescent="0.25">
      <c r="A61" s="3"/>
      <c r="B61" s="829"/>
      <c r="C61" s="830"/>
      <c r="D61" s="830"/>
      <c r="E61" s="830"/>
      <c r="F61" s="830"/>
      <c r="G61" s="830"/>
      <c r="H61" s="830"/>
      <c r="I61" s="830"/>
      <c r="J61" s="830"/>
      <c r="K61" s="830"/>
      <c r="L61" s="830"/>
      <c r="M61" s="830"/>
      <c r="N61" s="830"/>
      <c r="O61" s="830"/>
      <c r="P61" s="830"/>
      <c r="Q61" s="830"/>
      <c r="R61" s="831"/>
      <c r="S61" s="3"/>
    </row>
    <row r="62" spans="1:19" x14ac:dyDescent="0.25">
      <c r="A62" s="3"/>
      <c r="B62" s="829"/>
      <c r="C62" s="830"/>
      <c r="D62" s="830"/>
      <c r="E62" s="830"/>
      <c r="F62" s="830"/>
      <c r="G62" s="830"/>
      <c r="H62" s="830"/>
      <c r="I62" s="830"/>
      <c r="J62" s="830"/>
      <c r="K62" s="830"/>
      <c r="L62" s="830"/>
      <c r="M62" s="830"/>
      <c r="N62" s="830"/>
      <c r="O62" s="830"/>
      <c r="P62" s="830"/>
      <c r="Q62" s="830"/>
      <c r="R62" s="831"/>
      <c r="S62" s="3"/>
    </row>
    <row r="63" spans="1:19" x14ac:dyDescent="0.25">
      <c r="A63" s="3"/>
      <c r="B63" s="829"/>
      <c r="C63" s="830"/>
      <c r="D63" s="830"/>
      <c r="E63" s="830"/>
      <c r="F63" s="830"/>
      <c r="G63" s="830"/>
      <c r="H63" s="830"/>
      <c r="I63" s="830"/>
      <c r="J63" s="830"/>
      <c r="K63" s="830"/>
      <c r="L63" s="830"/>
      <c r="M63" s="830"/>
      <c r="N63" s="830"/>
      <c r="O63" s="830"/>
      <c r="P63" s="830"/>
      <c r="Q63" s="830"/>
      <c r="R63" s="831"/>
      <c r="S63" s="3"/>
    </row>
    <row r="64" spans="1:19" x14ac:dyDescent="0.25">
      <c r="A64" s="3"/>
      <c r="B64" s="829"/>
      <c r="C64" s="830"/>
      <c r="D64" s="830"/>
      <c r="E64" s="830"/>
      <c r="F64" s="830"/>
      <c r="G64" s="830"/>
      <c r="H64" s="830"/>
      <c r="I64" s="830"/>
      <c r="J64" s="830"/>
      <c r="K64" s="830"/>
      <c r="L64" s="830"/>
      <c r="M64" s="830"/>
      <c r="N64" s="830"/>
      <c r="O64" s="830"/>
      <c r="P64" s="830"/>
      <c r="Q64" s="830"/>
      <c r="R64" s="831"/>
      <c r="S64" s="3"/>
    </row>
    <row r="65" spans="1:19" x14ac:dyDescent="0.25">
      <c r="A65" s="3"/>
      <c r="B65" s="829"/>
      <c r="C65" s="830"/>
      <c r="D65" s="830"/>
      <c r="E65" s="830"/>
      <c r="F65" s="830"/>
      <c r="G65" s="830"/>
      <c r="H65" s="830"/>
      <c r="I65" s="830"/>
      <c r="J65" s="830"/>
      <c r="K65" s="830"/>
      <c r="L65" s="830"/>
      <c r="M65" s="830"/>
      <c r="N65" s="830"/>
      <c r="O65" s="830"/>
      <c r="P65" s="830"/>
      <c r="Q65" s="830"/>
      <c r="R65" s="831"/>
      <c r="S65" s="3"/>
    </row>
    <row r="66" spans="1:19" x14ac:dyDescent="0.25">
      <c r="A66" s="3"/>
      <c r="B66" s="829"/>
      <c r="C66" s="830"/>
      <c r="D66" s="830"/>
      <c r="E66" s="830"/>
      <c r="F66" s="830"/>
      <c r="G66" s="830"/>
      <c r="H66" s="830"/>
      <c r="I66" s="830"/>
      <c r="J66" s="830"/>
      <c r="K66" s="830"/>
      <c r="L66" s="830"/>
      <c r="M66" s="830"/>
      <c r="N66" s="830"/>
      <c r="O66" s="830"/>
      <c r="P66" s="830"/>
      <c r="Q66" s="830"/>
      <c r="R66" s="831"/>
      <c r="S66" s="3"/>
    </row>
    <row r="67" spans="1:19" x14ac:dyDescent="0.25">
      <c r="A67" s="3"/>
      <c r="B67" s="829"/>
      <c r="C67" s="830"/>
      <c r="D67" s="830"/>
      <c r="E67" s="830"/>
      <c r="F67" s="830"/>
      <c r="G67" s="830"/>
      <c r="H67" s="830"/>
      <c r="I67" s="830"/>
      <c r="J67" s="830"/>
      <c r="K67" s="830"/>
      <c r="L67" s="830"/>
      <c r="M67" s="830"/>
      <c r="N67" s="830"/>
      <c r="O67" s="830"/>
      <c r="P67" s="830"/>
      <c r="Q67" s="830"/>
      <c r="R67" s="831"/>
      <c r="S67" s="3"/>
    </row>
    <row r="68" spans="1:19" x14ac:dyDescent="0.25">
      <c r="A68" s="3"/>
      <c r="B68" s="829"/>
      <c r="C68" s="830"/>
      <c r="D68" s="830"/>
      <c r="E68" s="830"/>
      <c r="F68" s="830"/>
      <c r="G68" s="830"/>
      <c r="H68" s="830"/>
      <c r="I68" s="830"/>
      <c r="J68" s="830"/>
      <c r="K68" s="830"/>
      <c r="L68" s="830"/>
      <c r="M68" s="830"/>
      <c r="N68" s="830"/>
      <c r="O68" s="830"/>
      <c r="P68" s="830"/>
      <c r="Q68" s="830"/>
      <c r="R68" s="831"/>
      <c r="S68" s="3"/>
    </row>
    <row r="69" spans="1:19" x14ac:dyDescent="0.25">
      <c r="A69" s="3"/>
      <c r="B69" s="829"/>
      <c r="C69" s="830"/>
      <c r="D69" s="830"/>
      <c r="E69" s="830"/>
      <c r="F69" s="830"/>
      <c r="G69" s="830"/>
      <c r="H69" s="830"/>
      <c r="I69" s="830"/>
      <c r="J69" s="830"/>
      <c r="K69" s="830"/>
      <c r="L69" s="830"/>
      <c r="M69" s="830"/>
      <c r="N69" s="830"/>
      <c r="O69" s="830"/>
      <c r="P69" s="830"/>
      <c r="Q69" s="830"/>
      <c r="R69" s="831"/>
      <c r="S69" s="3"/>
    </row>
    <row r="70" spans="1:19" x14ac:dyDescent="0.25">
      <c r="A70" s="3"/>
      <c r="B70" s="829"/>
      <c r="C70" s="830"/>
      <c r="D70" s="830"/>
      <c r="E70" s="830"/>
      <c r="F70" s="830"/>
      <c r="G70" s="830"/>
      <c r="H70" s="830"/>
      <c r="I70" s="830"/>
      <c r="J70" s="830"/>
      <c r="K70" s="830"/>
      <c r="L70" s="830"/>
      <c r="M70" s="830"/>
      <c r="N70" s="830"/>
      <c r="O70" s="830"/>
      <c r="P70" s="830"/>
      <c r="Q70" s="830"/>
      <c r="R70" s="831"/>
      <c r="S70" s="3"/>
    </row>
    <row r="71" spans="1:19" x14ac:dyDescent="0.25">
      <c r="A71" s="3"/>
      <c r="B71" s="829"/>
      <c r="C71" s="830"/>
      <c r="D71" s="830"/>
      <c r="E71" s="830"/>
      <c r="F71" s="830"/>
      <c r="G71" s="830"/>
      <c r="H71" s="830"/>
      <c r="I71" s="830"/>
      <c r="J71" s="830"/>
      <c r="K71" s="830"/>
      <c r="L71" s="830"/>
      <c r="M71" s="830"/>
      <c r="N71" s="830"/>
      <c r="O71" s="830"/>
      <c r="P71" s="830"/>
      <c r="Q71" s="830"/>
      <c r="R71" s="831"/>
      <c r="S71" s="3"/>
    </row>
    <row r="72" spans="1:19" x14ac:dyDescent="0.25">
      <c r="A72" s="3"/>
      <c r="B72" s="829"/>
      <c r="C72" s="830"/>
      <c r="D72" s="830"/>
      <c r="E72" s="830"/>
      <c r="F72" s="830"/>
      <c r="G72" s="830"/>
      <c r="H72" s="830"/>
      <c r="I72" s="830"/>
      <c r="J72" s="830"/>
      <c r="K72" s="830"/>
      <c r="L72" s="830"/>
      <c r="M72" s="830"/>
      <c r="N72" s="830"/>
      <c r="O72" s="830"/>
      <c r="P72" s="830"/>
      <c r="Q72" s="830"/>
      <c r="R72" s="831"/>
      <c r="S72" s="3"/>
    </row>
    <row r="73" spans="1:19" x14ac:dyDescent="0.25">
      <c r="A73" s="3"/>
      <c r="B73" s="829"/>
      <c r="C73" s="830"/>
      <c r="D73" s="830"/>
      <c r="E73" s="830"/>
      <c r="F73" s="830"/>
      <c r="G73" s="830"/>
      <c r="H73" s="830"/>
      <c r="I73" s="830"/>
      <c r="J73" s="830"/>
      <c r="K73" s="830"/>
      <c r="L73" s="830"/>
      <c r="M73" s="830"/>
      <c r="N73" s="830"/>
      <c r="O73" s="830"/>
      <c r="P73" s="830"/>
      <c r="Q73" s="830"/>
      <c r="R73" s="831"/>
      <c r="S73" s="3"/>
    </row>
    <row r="74" spans="1:19" x14ac:dyDescent="0.25">
      <c r="A74" s="3"/>
      <c r="B74" s="829"/>
      <c r="C74" s="830"/>
      <c r="D74" s="830"/>
      <c r="E74" s="830"/>
      <c r="F74" s="830"/>
      <c r="G74" s="830"/>
      <c r="H74" s="830"/>
      <c r="I74" s="830"/>
      <c r="J74" s="830"/>
      <c r="K74" s="830"/>
      <c r="L74" s="830"/>
      <c r="M74" s="830"/>
      <c r="N74" s="830"/>
      <c r="O74" s="830"/>
      <c r="P74" s="830"/>
      <c r="Q74" s="830"/>
      <c r="R74" s="831"/>
      <c r="S74" s="3"/>
    </row>
    <row r="75" spans="1:19" x14ac:dyDescent="0.25">
      <c r="A75" s="3"/>
      <c r="B75" s="829"/>
      <c r="C75" s="830"/>
      <c r="D75" s="830"/>
      <c r="E75" s="830"/>
      <c r="F75" s="830"/>
      <c r="G75" s="830"/>
      <c r="H75" s="830"/>
      <c r="I75" s="830"/>
      <c r="J75" s="830"/>
      <c r="K75" s="830"/>
      <c r="L75" s="830"/>
      <c r="M75" s="830"/>
      <c r="N75" s="830"/>
      <c r="O75" s="830"/>
      <c r="P75" s="830"/>
      <c r="Q75" s="830"/>
      <c r="R75" s="831"/>
      <c r="S75" s="3"/>
    </row>
    <row r="76" spans="1:19" x14ac:dyDescent="0.25">
      <c r="A76" s="3"/>
      <c r="B76" s="829"/>
      <c r="C76" s="830"/>
      <c r="D76" s="830"/>
      <c r="E76" s="830"/>
      <c r="F76" s="830"/>
      <c r="G76" s="830"/>
      <c r="H76" s="830"/>
      <c r="I76" s="830"/>
      <c r="J76" s="830"/>
      <c r="K76" s="830"/>
      <c r="L76" s="830"/>
      <c r="M76" s="830"/>
      <c r="N76" s="830"/>
      <c r="O76" s="830"/>
      <c r="P76" s="830"/>
      <c r="Q76" s="830"/>
      <c r="R76" s="831"/>
      <c r="S76" s="3"/>
    </row>
    <row r="77" spans="1:19" x14ac:dyDescent="0.25">
      <c r="A77" s="3"/>
      <c r="B77" s="829"/>
      <c r="C77" s="830"/>
      <c r="D77" s="830"/>
      <c r="E77" s="830"/>
      <c r="F77" s="830"/>
      <c r="G77" s="830"/>
      <c r="H77" s="830"/>
      <c r="I77" s="830"/>
      <c r="J77" s="830"/>
      <c r="K77" s="830"/>
      <c r="L77" s="830"/>
      <c r="M77" s="830"/>
      <c r="N77" s="830"/>
      <c r="O77" s="830"/>
      <c r="P77" s="830"/>
      <c r="Q77" s="830"/>
      <c r="R77" s="831"/>
      <c r="S77" s="3"/>
    </row>
    <row r="78" spans="1:19" x14ac:dyDescent="0.25">
      <c r="A78" s="3"/>
      <c r="B78" s="829"/>
      <c r="C78" s="830"/>
      <c r="D78" s="830"/>
      <c r="E78" s="830"/>
      <c r="F78" s="830"/>
      <c r="G78" s="830"/>
      <c r="H78" s="830"/>
      <c r="I78" s="830"/>
      <c r="J78" s="830"/>
      <c r="K78" s="830"/>
      <c r="L78" s="830"/>
      <c r="M78" s="830"/>
      <c r="N78" s="830"/>
      <c r="O78" s="830"/>
      <c r="P78" s="830"/>
      <c r="Q78" s="830"/>
      <c r="R78" s="831"/>
      <c r="S78" s="3"/>
    </row>
    <row r="79" spans="1:19" x14ac:dyDescent="0.25">
      <c r="A79" s="3"/>
      <c r="B79" s="829"/>
      <c r="C79" s="830"/>
      <c r="D79" s="830"/>
      <c r="E79" s="830"/>
      <c r="F79" s="830"/>
      <c r="G79" s="830"/>
      <c r="H79" s="830"/>
      <c r="I79" s="830"/>
      <c r="J79" s="830"/>
      <c r="K79" s="830"/>
      <c r="L79" s="830"/>
      <c r="M79" s="830"/>
      <c r="N79" s="830"/>
      <c r="O79" s="830"/>
      <c r="P79" s="830"/>
      <c r="Q79" s="830"/>
      <c r="R79" s="831"/>
      <c r="S79" s="3"/>
    </row>
    <row r="80" spans="1:19" x14ac:dyDescent="0.25">
      <c r="A80" s="3"/>
      <c r="B80" s="829"/>
      <c r="C80" s="830"/>
      <c r="D80" s="830"/>
      <c r="E80" s="830"/>
      <c r="F80" s="830"/>
      <c r="G80" s="830"/>
      <c r="H80" s="830"/>
      <c r="I80" s="830"/>
      <c r="J80" s="830"/>
      <c r="K80" s="830"/>
      <c r="L80" s="830"/>
      <c r="M80" s="830"/>
      <c r="N80" s="830"/>
      <c r="O80" s="830"/>
      <c r="P80" s="830"/>
      <c r="Q80" s="830"/>
      <c r="R80" s="831"/>
      <c r="S80" s="3"/>
    </row>
    <row r="81" spans="1:19" x14ac:dyDescent="0.25">
      <c r="A81" s="3"/>
      <c r="B81" s="829"/>
      <c r="C81" s="830"/>
      <c r="D81" s="830"/>
      <c r="E81" s="830"/>
      <c r="F81" s="830"/>
      <c r="G81" s="830"/>
      <c r="H81" s="830"/>
      <c r="I81" s="830"/>
      <c r="J81" s="830"/>
      <c r="K81" s="830"/>
      <c r="L81" s="830"/>
      <c r="M81" s="830"/>
      <c r="N81" s="830"/>
      <c r="O81" s="830"/>
      <c r="P81" s="830"/>
      <c r="Q81" s="830"/>
      <c r="R81" s="831"/>
      <c r="S81" s="3"/>
    </row>
    <row r="82" spans="1:19" x14ac:dyDescent="0.25">
      <c r="A82" s="3"/>
      <c r="B82" s="829"/>
      <c r="C82" s="830"/>
      <c r="D82" s="830"/>
      <c r="E82" s="830"/>
      <c r="F82" s="830"/>
      <c r="G82" s="830"/>
      <c r="H82" s="830"/>
      <c r="I82" s="830"/>
      <c r="J82" s="830"/>
      <c r="K82" s="830"/>
      <c r="L82" s="830"/>
      <c r="M82" s="830"/>
      <c r="N82" s="830"/>
      <c r="O82" s="830"/>
      <c r="P82" s="830"/>
      <c r="Q82" s="830"/>
      <c r="R82" s="831"/>
      <c r="S82" s="3"/>
    </row>
    <row r="83" spans="1:19" x14ac:dyDescent="0.25">
      <c r="A83" s="3"/>
      <c r="B83" s="829"/>
      <c r="C83" s="830"/>
      <c r="D83" s="830"/>
      <c r="E83" s="830"/>
      <c r="F83" s="830"/>
      <c r="G83" s="830"/>
      <c r="H83" s="830"/>
      <c r="I83" s="830"/>
      <c r="J83" s="830"/>
      <c r="K83" s="830"/>
      <c r="L83" s="830"/>
      <c r="M83" s="830"/>
      <c r="N83" s="830"/>
      <c r="O83" s="830"/>
      <c r="P83" s="830"/>
      <c r="Q83" s="830"/>
      <c r="R83" s="831"/>
      <c r="S83" s="3"/>
    </row>
    <row r="84" spans="1:19" x14ac:dyDescent="0.25">
      <c r="A84" s="3"/>
      <c r="B84" s="829"/>
      <c r="C84" s="830"/>
      <c r="D84" s="830"/>
      <c r="E84" s="830"/>
      <c r="F84" s="830"/>
      <c r="G84" s="830"/>
      <c r="H84" s="830"/>
      <c r="I84" s="830"/>
      <c r="J84" s="830"/>
      <c r="K84" s="830"/>
      <c r="L84" s="830"/>
      <c r="M84" s="830"/>
      <c r="N84" s="830"/>
      <c r="O84" s="830"/>
      <c r="P84" s="830"/>
      <c r="Q84" s="830"/>
      <c r="R84" s="831"/>
      <c r="S84" s="3"/>
    </row>
    <row r="85" spans="1:19" x14ac:dyDescent="0.25">
      <c r="A85" s="3"/>
      <c r="B85" s="832"/>
      <c r="C85" s="833"/>
      <c r="D85" s="833"/>
      <c r="E85" s="833"/>
      <c r="F85" s="833"/>
      <c r="G85" s="833"/>
      <c r="H85" s="833"/>
      <c r="I85" s="833"/>
      <c r="J85" s="833"/>
      <c r="K85" s="833"/>
      <c r="L85" s="833"/>
      <c r="M85" s="833"/>
      <c r="N85" s="833"/>
      <c r="O85" s="833"/>
      <c r="P85" s="833"/>
      <c r="Q85" s="833"/>
      <c r="R85" s="834"/>
      <c r="S85" s="3"/>
    </row>
    <row r="86" spans="1:19" x14ac:dyDescent="0.25">
      <c r="A86" s="3"/>
      <c r="B86" s="3"/>
      <c r="C86" s="3"/>
      <c r="D86" s="3"/>
      <c r="E86" s="3"/>
      <c r="F86" s="3"/>
      <c r="G86" s="3"/>
      <c r="H86" s="3"/>
      <c r="I86" s="3"/>
      <c r="J86" s="3"/>
      <c r="K86" s="3"/>
      <c r="L86" s="3"/>
      <c r="M86" s="3"/>
      <c r="N86" s="3"/>
      <c r="O86" s="3"/>
      <c r="P86" s="3"/>
      <c r="Q86" s="3"/>
      <c r="R86" s="3"/>
      <c r="S86" s="3"/>
    </row>
  </sheetData>
  <sheetProtection sheet="1" objects="1" scenarios="1" formatCells="0" formatColumns="0" formatRows="0"/>
  <mergeCells count="1">
    <mergeCell ref="V4:V16"/>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C95"/>
  <sheetViews>
    <sheetView showGridLines="0" showZeros="0" zoomScale="80" zoomScaleNormal="80" workbookViewId="0"/>
  </sheetViews>
  <sheetFormatPr defaultColWidth="9.26953125" defaultRowHeight="11.4" x14ac:dyDescent="0.25"/>
  <cols>
    <col min="1" max="2" width="1.6328125" style="5" customWidth="1"/>
    <col min="3" max="3" width="2.6328125" style="5" customWidth="1"/>
    <col min="4" max="4" width="14.7265625" style="13" customWidth="1"/>
    <col min="5" max="5" width="20.6328125" style="47" customWidth="1"/>
    <col min="6" max="10" width="20.6328125" style="13" customWidth="1"/>
    <col min="11" max="12" width="2.6328125" style="5" customWidth="1"/>
    <col min="13" max="13" width="1.6328125" style="5" customWidth="1"/>
    <col min="14" max="14" width="1.6328125" style="13" customWidth="1"/>
    <col min="15" max="15" width="1.6328125" style="46" customWidth="1"/>
    <col min="16" max="16" width="12.26953125" style="77" customWidth="1"/>
    <col min="17" max="17" width="10.7265625" style="77" customWidth="1"/>
    <col min="18" max="18" width="80.6328125" style="77" customWidth="1"/>
    <col min="19" max="19" width="1.7265625" style="77" customWidth="1"/>
    <col min="20" max="28" width="12.26953125" style="5" customWidth="1"/>
    <col min="29" max="16384" width="9.26953125" style="5"/>
  </cols>
  <sheetData>
    <row r="1" spans="1:19" ht="13.5" customHeight="1" x14ac:dyDescent="0.25">
      <c r="A1" s="3"/>
      <c r="B1" s="3"/>
      <c r="C1" s="3"/>
      <c r="D1" s="4"/>
      <c r="E1" s="4"/>
      <c r="F1" s="4"/>
      <c r="G1" s="4"/>
      <c r="H1" s="4"/>
      <c r="I1" s="4"/>
      <c r="J1" s="4"/>
      <c r="K1" s="3"/>
      <c r="L1" s="3"/>
      <c r="M1" s="3"/>
      <c r="N1" s="3"/>
      <c r="O1" s="43"/>
      <c r="Q1" s="838"/>
      <c r="R1" s="838"/>
      <c r="S1" s="839"/>
    </row>
    <row r="2" spans="1:19" s="9" customFormat="1" ht="18" customHeight="1" x14ac:dyDescent="0.25">
      <c r="A2" s="6"/>
      <c r="B2" s="7"/>
      <c r="C2" s="35"/>
      <c r="D2" s="35"/>
      <c r="E2" s="49"/>
      <c r="F2" s="771"/>
      <c r="G2" s="771"/>
      <c r="H2" s="771"/>
      <c r="I2" s="771"/>
      <c r="J2" s="771"/>
      <c r="K2" s="35"/>
      <c r="L2" s="35"/>
      <c r="M2" s="8"/>
      <c r="N2" s="6"/>
      <c r="O2" s="44"/>
      <c r="P2" s="78"/>
      <c r="Q2" s="838"/>
      <c r="R2" s="911" t="s">
        <v>2307</v>
      </c>
      <c r="S2" s="839"/>
    </row>
    <row r="3" spans="1:19" ht="18" customHeight="1" x14ac:dyDescent="0.25">
      <c r="A3" s="3"/>
      <c r="B3" s="10"/>
      <c r="D3" s="72" t="s">
        <v>477</v>
      </c>
      <c r="E3" s="52"/>
      <c r="F3" s="52"/>
      <c r="G3" s="52"/>
      <c r="H3" s="52"/>
      <c r="I3" s="52"/>
      <c r="J3" s="52"/>
      <c r="K3" s="72"/>
      <c r="L3" s="52"/>
      <c r="M3" s="11"/>
      <c r="N3" s="3"/>
      <c r="O3" s="43"/>
      <c r="Q3" s="838"/>
      <c r="R3" s="912"/>
      <c r="S3" s="839"/>
    </row>
    <row r="4" spans="1:19" ht="34.950000000000003" customHeight="1" x14ac:dyDescent="0.25">
      <c r="A4" s="3"/>
      <c r="B4" s="10"/>
      <c r="D4" s="71" t="str">
        <f>IF(VLOOKUP("KM77",Languages!$A:$D,1,TRUE)="KM77",VLOOKUP("KM77",Languages!$A:$D,Summary!$C$7,TRUE),NA())</f>
        <v>Osiokohtainen kypsyystasoraportti</v>
      </c>
      <c r="E4" s="51"/>
      <c r="F4" s="51"/>
      <c r="G4" s="51"/>
      <c r="H4" s="51"/>
      <c r="I4" s="51"/>
      <c r="J4" s="51"/>
      <c r="K4" s="73"/>
      <c r="L4" s="51"/>
      <c r="M4" s="11"/>
      <c r="N4" s="3"/>
      <c r="O4" s="43"/>
      <c r="Q4" s="838"/>
      <c r="R4" s="1295" t="s">
        <v>3061</v>
      </c>
      <c r="S4" s="839"/>
    </row>
    <row r="5" spans="1:19" ht="52.05" customHeight="1" x14ac:dyDescent="0.25">
      <c r="A5" s="3"/>
      <c r="B5" s="10"/>
      <c r="D5" s="93"/>
      <c r="E5" s="51"/>
      <c r="F5" s="51"/>
      <c r="G5" s="51"/>
      <c r="H5" s="51"/>
      <c r="I5" s="51"/>
      <c r="J5" s="51"/>
      <c r="K5" s="73"/>
      <c r="L5" s="51"/>
      <c r="M5" s="11"/>
      <c r="N5" s="3"/>
      <c r="O5" s="43"/>
      <c r="Q5" s="838"/>
      <c r="R5" s="1295"/>
      <c r="S5" s="839"/>
    </row>
    <row r="6" spans="1:19" ht="28.8" customHeight="1" x14ac:dyDescent="0.35">
      <c r="A6" s="3"/>
      <c r="B6" s="10"/>
      <c r="C6" s="769" t="s">
        <v>48</v>
      </c>
      <c r="D6" s="846" t="s">
        <v>2306</v>
      </c>
      <c r="E6" s="847" t="str">
        <f>Parameters!$B$18</f>
        <v xml:space="preserve">0 - Vastaus puuttuu </v>
      </c>
      <c r="F6" s="848" t="str">
        <f>Parameters!$B$19</f>
        <v>1 - Ei toteutettu tai ei tietoa</v>
      </c>
      <c r="G6" s="849" t="str">
        <f>Parameters!$B$20</f>
        <v>2 - Osittain toteutettu</v>
      </c>
      <c r="H6" s="850" t="str">
        <f>Parameters!$B$21</f>
        <v>3 - Enimmäkseen  toteutettu</v>
      </c>
      <c r="I6" s="851" t="str">
        <f>Parameters!$B$22</f>
        <v>4 - Täysin toteutettu</v>
      </c>
      <c r="J6" s="772"/>
      <c r="K6" s="32"/>
      <c r="L6" s="32"/>
      <c r="M6" s="11"/>
      <c r="N6" s="3"/>
      <c r="O6" s="43"/>
      <c r="Q6" s="838"/>
      <c r="R6" s="1295"/>
      <c r="S6" s="838"/>
    </row>
    <row r="7" spans="1:19" ht="10.050000000000001" customHeight="1" x14ac:dyDescent="0.35">
      <c r="A7" s="3"/>
      <c r="B7" s="10"/>
      <c r="C7" s="769"/>
      <c r="D7" s="770"/>
      <c r="E7" s="776">
        <v>1</v>
      </c>
      <c r="F7" s="776">
        <v>2</v>
      </c>
      <c r="G7" s="776">
        <v>3</v>
      </c>
      <c r="H7" s="776">
        <v>4</v>
      </c>
      <c r="I7" s="776">
        <v>5</v>
      </c>
      <c r="J7" s="772"/>
      <c r="K7" s="32"/>
      <c r="L7" s="32"/>
      <c r="M7" s="11"/>
      <c r="N7" s="3"/>
      <c r="O7" s="43"/>
      <c r="Q7" s="838"/>
      <c r="R7" s="1295"/>
      <c r="S7" s="838"/>
    </row>
    <row r="8" spans="1:19" ht="60" customHeight="1" x14ac:dyDescent="0.35">
      <c r="A8" s="3"/>
      <c r="B8" s="10"/>
      <c r="C8" s="769"/>
      <c r="D8" s="770"/>
      <c r="E8" s="772" t="str">
        <f>R25</f>
        <v>CRITICAL</v>
      </c>
      <c r="F8" s="772" t="str">
        <f>S25</f>
        <v>ASSET</v>
      </c>
      <c r="G8" s="772" t="str">
        <f>T25</f>
        <v>THREAT</v>
      </c>
      <c r="H8" s="772" t="str">
        <f>U25</f>
        <v>RISK</v>
      </c>
      <c r="I8" s="772" t="str">
        <f>V25</f>
        <v>ACCESS</v>
      </c>
      <c r="J8" s="775"/>
      <c r="K8" s="32"/>
      <c r="L8" s="32"/>
      <c r="M8" s="11"/>
      <c r="N8" s="3"/>
      <c r="O8" s="43"/>
      <c r="Q8" s="838"/>
      <c r="R8" s="1295"/>
      <c r="S8" s="838"/>
    </row>
    <row r="9" spans="1:19" ht="120" customHeight="1" x14ac:dyDescent="0.25">
      <c r="A9" s="3"/>
      <c r="B9" s="27"/>
      <c r="C9" s="36"/>
      <c r="D9" s="837" t="str">
        <f>VLOOKUP(3,Parameters!$C$7:$F$10,Summary!$C$7,FALSE)</f>
        <v>Kypsyystaso 3</v>
      </c>
      <c r="E9" s="777"/>
      <c r="F9" s="778"/>
      <c r="G9" s="778"/>
      <c r="H9" s="778"/>
      <c r="I9" s="779"/>
      <c r="J9" s="773"/>
      <c r="K9" s="64"/>
      <c r="L9" s="55"/>
      <c r="M9" s="29"/>
      <c r="N9" s="3"/>
      <c r="O9" s="43"/>
      <c r="Q9" s="838"/>
      <c r="R9" s="1295"/>
      <c r="S9" s="838"/>
    </row>
    <row r="10" spans="1:19" ht="120" customHeight="1" x14ac:dyDescent="0.25">
      <c r="A10" s="26"/>
      <c r="B10" s="27"/>
      <c r="C10" s="36"/>
      <c r="D10" s="837" t="str">
        <f>VLOOKUP(2,Parameters!$C$7:$F$10,Summary!$C$7,FALSE)</f>
        <v>Kypsyystaso 2</v>
      </c>
      <c r="E10" s="780"/>
      <c r="F10" s="778"/>
      <c r="G10" s="778"/>
      <c r="H10" s="778"/>
      <c r="I10" s="779"/>
      <c r="J10" s="773"/>
      <c r="K10" s="64"/>
      <c r="L10" s="55"/>
      <c r="M10" s="29"/>
      <c r="N10" s="26"/>
      <c r="O10" s="45"/>
      <c r="Q10" s="838"/>
      <c r="R10" s="1295"/>
      <c r="S10" s="838"/>
    </row>
    <row r="11" spans="1:19" ht="120" customHeight="1" x14ac:dyDescent="0.25">
      <c r="A11" s="26"/>
      <c r="B11" s="27"/>
      <c r="C11" s="36"/>
      <c r="D11" s="837" t="str">
        <f>VLOOKUP(1,Parameters!$C$7:$F$10,Summary!$C$7,FALSE)</f>
        <v>Kypsyystaso 1</v>
      </c>
      <c r="E11" s="623"/>
      <c r="F11" s="778"/>
      <c r="G11" s="623"/>
      <c r="H11" s="623"/>
      <c r="I11" s="779"/>
      <c r="J11" s="773"/>
      <c r="K11" s="64"/>
      <c r="L11" s="55"/>
      <c r="M11" s="29"/>
      <c r="N11" s="26"/>
      <c r="O11" s="45"/>
      <c r="Q11" s="838"/>
      <c r="R11" s="1295"/>
      <c r="S11" s="838"/>
    </row>
    <row r="12" spans="1:19" ht="30.45" customHeight="1" x14ac:dyDescent="0.25">
      <c r="A12" s="26"/>
      <c r="B12" s="27"/>
      <c r="C12" s="36"/>
      <c r="D12" s="65"/>
      <c r="E12" s="623"/>
      <c r="F12" s="778"/>
      <c r="G12" s="623"/>
      <c r="H12" s="623"/>
      <c r="I12" s="779"/>
      <c r="J12" s="773"/>
      <c r="K12" s="64"/>
      <c r="L12" s="55"/>
      <c r="M12" s="29"/>
      <c r="N12" s="26"/>
      <c r="O12" s="45"/>
      <c r="Q12" s="838"/>
      <c r="R12" s="1295"/>
      <c r="S12" s="838"/>
    </row>
    <row r="13" spans="1:19" ht="25.05" customHeight="1" x14ac:dyDescent="0.25">
      <c r="A13" s="26"/>
      <c r="B13" s="27"/>
      <c r="C13" s="769" t="s">
        <v>66</v>
      </c>
      <c r="D13" s="72"/>
      <c r="E13" s="5"/>
      <c r="F13" s="772"/>
      <c r="G13" s="772"/>
      <c r="H13" s="772"/>
      <c r="I13" s="772"/>
      <c r="J13" s="773"/>
      <c r="K13" s="64"/>
      <c r="L13" s="55"/>
      <c r="M13" s="29"/>
      <c r="N13" s="26"/>
      <c r="O13" s="45"/>
      <c r="Q13" s="838"/>
      <c r="R13" s="1295"/>
      <c r="S13" s="838"/>
    </row>
    <row r="14" spans="1:19" ht="13.05" customHeight="1" x14ac:dyDescent="0.25">
      <c r="A14" s="26"/>
      <c r="B14" s="27"/>
      <c r="C14" s="769"/>
      <c r="D14" s="770"/>
      <c r="E14" s="776">
        <v>1</v>
      </c>
      <c r="F14" s="776">
        <v>2</v>
      </c>
      <c r="G14" s="776">
        <v>3</v>
      </c>
      <c r="H14" s="776"/>
      <c r="I14" s="776"/>
      <c r="J14" s="773"/>
      <c r="K14" s="64"/>
      <c r="L14" s="55"/>
      <c r="M14" s="29"/>
      <c r="N14" s="26"/>
      <c r="O14" s="45"/>
      <c r="Q14" s="838"/>
      <c r="R14" s="1295"/>
      <c r="S14" s="838"/>
    </row>
    <row r="15" spans="1:19" ht="60" customHeight="1" x14ac:dyDescent="0.25">
      <c r="A15" s="26"/>
      <c r="B15" s="27"/>
      <c r="C15" s="769"/>
      <c r="D15" s="770"/>
      <c r="E15" s="772" t="str">
        <f t="shared" ref="E15:J15" si="0">W25</f>
        <v>SITUATION</v>
      </c>
      <c r="F15" s="772" t="str">
        <f t="shared" si="0"/>
        <v>RESPONSE</v>
      </c>
      <c r="G15" s="772" t="str">
        <f t="shared" si="0"/>
        <v>THIRDPARTY</v>
      </c>
      <c r="H15" s="772" t="str">
        <f t="shared" si="0"/>
        <v>WORKFORCE</v>
      </c>
      <c r="I15" s="772" t="str">
        <f t="shared" si="0"/>
        <v>ARCHITECTURE</v>
      </c>
      <c r="J15" s="772" t="str">
        <f t="shared" si="0"/>
        <v>PROGRAM</v>
      </c>
      <c r="K15" s="64"/>
      <c r="L15" s="55"/>
      <c r="M15" s="29"/>
      <c r="N15" s="26"/>
      <c r="O15" s="45"/>
      <c r="Q15" s="838"/>
      <c r="R15" s="1295"/>
      <c r="S15" s="838"/>
    </row>
    <row r="16" spans="1:19" ht="120" customHeight="1" x14ac:dyDescent="0.25">
      <c r="A16" s="26"/>
      <c r="B16" s="27"/>
      <c r="C16" s="36"/>
      <c r="D16" s="837" t="str">
        <f>VLOOKUP(3,Parameters!$C$7:$F$10,Summary!$C$7,FALSE)</f>
        <v>Kypsyystaso 3</v>
      </c>
      <c r="E16" s="777"/>
      <c r="F16" s="778"/>
      <c r="G16" s="778"/>
      <c r="H16" s="778"/>
      <c r="I16" s="779"/>
      <c r="J16" s="773"/>
      <c r="K16" s="64"/>
      <c r="L16" s="55"/>
      <c r="M16" s="29"/>
      <c r="N16" s="26"/>
      <c r="O16" s="45"/>
      <c r="Q16" s="838"/>
      <c r="R16" s="1296"/>
      <c r="S16" s="838"/>
    </row>
    <row r="17" spans="1:29" ht="120" customHeight="1" x14ac:dyDescent="0.25">
      <c r="A17" s="26"/>
      <c r="B17" s="27"/>
      <c r="C17" s="36"/>
      <c r="D17" s="837" t="str">
        <f>VLOOKUP(2,Parameters!$C$7:$F$10,Summary!$C$7,FALSE)</f>
        <v>Kypsyystaso 2</v>
      </c>
      <c r="E17" s="780"/>
      <c r="F17" s="778"/>
      <c r="G17" s="778"/>
      <c r="H17" s="778"/>
      <c r="I17" s="779"/>
      <c r="J17" s="773"/>
      <c r="K17" s="64"/>
      <c r="L17" s="55"/>
      <c r="M17" s="29"/>
      <c r="N17" s="26"/>
      <c r="O17" s="45"/>
      <c r="Q17" s="838"/>
      <c r="R17" s="838"/>
      <c r="S17" s="838"/>
    </row>
    <row r="18" spans="1:29" ht="120" customHeight="1" x14ac:dyDescent="0.25">
      <c r="A18" s="26"/>
      <c r="B18" s="27"/>
      <c r="C18" s="36"/>
      <c r="D18" s="837" t="str">
        <f>VLOOKUP(1,Parameters!$C$7:$F$10,Summary!$C$7,FALSE)</f>
        <v>Kypsyystaso 1</v>
      </c>
      <c r="E18" s="623"/>
      <c r="F18" s="778"/>
      <c r="G18" s="623"/>
      <c r="H18" s="623"/>
      <c r="I18" s="779"/>
      <c r="J18" s="773"/>
      <c r="K18" s="64"/>
      <c r="L18" s="55"/>
      <c r="M18" s="29"/>
      <c r="N18" s="26"/>
      <c r="O18" s="45"/>
    </row>
    <row r="19" spans="1:29" ht="120" customHeight="1" x14ac:dyDescent="0.25">
      <c r="A19" s="26"/>
      <c r="B19" s="27"/>
      <c r="C19" s="36"/>
      <c r="D19" s="65"/>
      <c r="E19" s="623"/>
      <c r="F19" s="778"/>
      <c r="G19" s="623"/>
      <c r="H19" s="623"/>
      <c r="I19" s="779"/>
      <c r="J19" s="773"/>
      <c r="K19" s="64"/>
      <c r="L19" s="55"/>
      <c r="M19" s="29"/>
      <c r="N19" s="26"/>
      <c r="O19" s="45"/>
    </row>
    <row r="20" spans="1:29" s="13" customFormat="1" ht="15" customHeight="1" x14ac:dyDescent="0.25">
      <c r="A20" s="12"/>
      <c r="B20" s="14"/>
      <c r="C20" s="18"/>
      <c r="D20" s="18"/>
      <c r="E20" s="50"/>
      <c r="F20" s="774"/>
      <c r="G20" s="774"/>
      <c r="H20" s="774"/>
      <c r="I20" s="774"/>
      <c r="J20" s="774"/>
      <c r="K20" s="19"/>
      <c r="L20" s="19"/>
      <c r="M20" s="15"/>
      <c r="N20" s="12"/>
      <c r="O20" s="42"/>
    </row>
    <row r="21" spans="1:29" s="13" customFormat="1" ht="18" customHeight="1" x14ac:dyDescent="0.25">
      <c r="A21" s="12"/>
      <c r="B21" s="12"/>
      <c r="C21" s="12"/>
      <c r="D21" s="16"/>
      <c r="E21" s="16"/>
      <c r="F21" s="16"/>
      <c r="G21" s="16"/>
      <c r="H21" s="16"/>
      <c r="I21" s="16"/>
      <c r="J21" s="16"/>
      <c r="K21" s="12"/>
      <c r="L21" s="12"/>
      <c r="M21" s="12"/>
      <c r="N21" s="12"/>
      <c r="O21" s="42"/>
    </row>
    <row r="22" spans="1:29" x14ac:dyDescent="0.25">
      <c r="P22" s="5"/>
      <c r="Q22" s="5"/>
      <c r="R22" s="5"/>
      <c r="S22" s="5"/>
    </row>
    <row r="23" spans="1:29" x14ac:dyDescent="0.25">
      <c r="P23" s="5"/>
      <c r="Q23" s="5"/>
      <c r="R23" s="5"/>
      <c r="S23" s="5"/>
    </row>
    <row r="24" spans="1:29" s="800" customFormat="1" ht="24" customHeight="1" x14ac:dyDescent="0.25">
      <c r="D24" s="801"/>
      <c r="E24" s="802"/>
      <c r="F24" s="801"/>
      <c r="G24" s="801"/>
      <c r="H24" s="801"/>
      <c r="I24" s="801"/>
      <c r="J24" s="801"/>
      <c r="N24" s="801"/>
      <c r="O24" s="803"/>
      <c r="R24" s="798"/>
      <c r="S24" s="798"/>
      <c r="T24" s="798"/>
      <c r="U24" s="798"/>
      <c r="V24" s="798"/>
      <c r="W24" s="798"/>
      <c r="X24" s="798"/>
      <c r="Y24" s="798"/>
      <c r="Z24" s="798"/>
      <c r="AA24" s="798"/>
      <c r="AB24" s="798"/>
    </row>
    <row r="25" spans="1:29" s="800" customFormat="1" ht="24" customHeight="1" x14ac:dyDescent="0.25">
      <c r="D25" s="801"/>
      <c r="E25" s="802"/>
      <c r="F25" s="801"/>
      <c r="G25" s="801"/>
      <c r="H25" s="801"/>
      <c r="I25" s="801"/>
      <c r="J25" s="801"/>
      <c r="N25" s="801"/>
      <c r="O25" s="803"/>
      <c r="R25" s="799" t="s">
        <v>57</v>
      </c>
      <c r="S25" s="799" t="s">
        <v>48</v>
      </c>
      <c r="T25" s="799" t="s">
        <v>66</v>
      </c>
      <c r="U25" s="799" t="s">
        <v>0</v>
      </c>
      <c r="V25" s="799" t="s">
        <v>61</v>
      </c>
      <c r="W25" s="799" t="s">
        <v>69</v>
      </c>
      <c r="X25" s="799" t="s">
        <v>71</v>
      </c>
      <c r="Y25" s="799" t="s">
        <v>1145</v>
      </c>
      <c r="Z25" s="799" t="s">
        <v>77</v>
      </c>
      <c r="AA25" s="799" t="s">
        <v>80</v>
      </c>
      <c r="AB25" s="799" t="s">
        <v>82</v>
      </c>
    </row>
    <row r="26" spans="1:29" s="800" customFormat="1" ht="24" customHeight="1" x14ac:dyDescent="0.25">
      <c r="D26" s="801"/>
      <c r="E26" s="802"/>
      <c r="F26" s="801"/>
      <c r="G26" s="801"/>
      <c r="H26" s="801"/>
      <c r="I26" s="801"/>
      <c r="J26" s="801"/>
      <c r="N26" s="801"/>
      <c r="O26" s="803"/>
      <c r="P26" s="804" t="s">
        <v>885</v>
      </c>
      <c r="Q26" s="804" t="s">
        <v>667</v>
      </c>
      <c r="R26" s="804">
        <v>5</v>
      </c>
      <c r="S26" s="804">
        <v>18</v>
      </c>
      <c r="T26" s="804">
        <v>11</v>
      </c>
      <c r="U26" s="804">
        <v>16</v>
      </c>
      <c r="V26" s="804">
        <v>8</v>
      </c>
      <c r="W26" s="804">
        <v>14</v>
      </c>
      <c r="X26" s="804">
        <v>18</v>
      </c>
      <c r="Y26" s="804">
        <v>9</v>
      </c>
      <c r="Z26" s="804">
        <v>12</v>
      </c>
      <c r="AA26" s="804">
        <v>23</v>
      </c>
      <c r="AB26" s="804">
        <v>9</v>
      </c>
    </row>
    <row r="27" spans="1:29" s="800" customFormat="1" ht="23.4" customHeight="1" x14ac:dyDescent="0.25">
      <c r="D27" s="801"/>
      <c r="E27" s="802"/>
      <c r="F27" s="801"/>
      <c r="G27" s="801"/>
      <c r="H27" s="801"/>
      <c r="I27" s="801"/>
      <c r="J27" s="801"/>
      <c r="N27" s="801"/>
      <c r="O27" s="803"/>
      <c r="P27" s="805">
        <v>3</v>
      </c>
      <c r="Q27" s="805">
        <v>4</v>
      </c>
      <c r="R27" s="805">
        <f ca="1">COUNTIFS(Data!$F:$F,CONCATENATE(R$25,"-","?",$P27),Data!$H:$H,$Q27)</f>
        <v>0</v>
      </c>
      <c r="S27" s="805">
        <f ca="1">COUNTIFS(Data!$F:$F,CONCATENATE(S$25,"-","?",$P27),Data!$H:$H,$Q27)</f>
        <v>0</v>
      </c>
      <c r="T27" s="805">
        <f ca="1">COUNTIFS(Data!$F:$F,CONCATENATE(T$25,"-","?",$P27),Data!$H:$H,$Q27)</f>
        <v>0</v>
      </c>
      <c r="U27" s="805">
        <f ca="1">COUNTIFS(Data!$F:$F,CONCATENATE(U$25,"-","?",$P27),Data!$H:$H,$Q27)</f>
        <v>0</v>
      </c>
      <c r="V27" s="805">
        <f ca="1">COUNTIFS(Data!$F:$F,CONCATENATE(V$25,"-","?",$P27),Data!$H:$H,$Q27)</f>
        <v>0</v>
      </c>
      <c r="W27" s="805">
        <f ca="1">COUNTIFS(Data!$F:$F,CONCATENATE(W$25,"-","?",$P27),Data!$H:$H,$Q27)</f>
        <v>0</v>
      </c>
      <c r="X27" s="805">
        <f ca="1">COUNTIFS(Data!$F:$F,CONCATENATE(X$25,"-","?",$P27),Data!$H:$H,$Q27)</f>
        <v>0</v>
      </c>
      <c r="Y27" s="805">
        <f ca="1">COUNTIFS(Data!$F:$F,CONCATENATE(Y$25,"-","?",$P27),Data!$H:$H,$Q27)</f>
        <v>0</v>
      </c>
      <c r="Z27" s="805">
        <f ca="1">COUNTIFS(Data!$F:$F,CONCATENATE(Z$25,"-","?",$P27),Data!$H:$H,$Q27)</f>
        <v>0</v>
      </c>
      <c r="AA27" s="805">
        <f ca="1">COUNTIFS(Data!$F:$F,CONCATENATE(AA$25,"-","?",$P27),Data!$H:$H,$Q27)</f>
        <v>0</v>
      </c>
      <c r="AB27" s="805">
        <f ca="1">COUNTIFS(Data!$F:$F,CONCATENATE(AB$25,"-","?",$P27),Data!$H:$H,$Q27)</f>
        <v>0</v>
      </c>
      <c r="AC27" s="806"/>
    </row>
    <row r="28" spans="1:29" s="800" customFormat="1" ht="24" customHeight="1" x14ac:dyDescent="0.25">
      <c r="D28" s="801"/>
      <c r="E28" s="802"/>
      <c r="F28" s="801"/>
      <c r="G28" s="801"/>
      <c r="H28" s="801"/>
      <c r="I28" s="801"/>
      <c r="J28" s="801"/>
      <c r="N28" s="801"/>
      <c r="O28" s="803"/>
      <c r="P28" s="805">
        <v>3</v>
      </c>
      <c r="Q28" s="805">
        <v>3</v>
      </c>
      <c r="R28" s="805">
        <f ca="1">COUNTIFS(Data!$F:$F,CONCATENATE(R$25,"-","?",$P28),Data!$H:$H,$Q28)</f>
        <v>0</v>
      </c>
      <c r="S28" s="805">
        <f ca="1">COUNTIFS(Data!$F:$F,CONCATENATE(S$25,"-","?",$P28),Data!$H:$H,$Q28)</f>
        <v>0</v>
      </c>
      <c r="T28" s="805">
        <f ca="1">COUNTIFS(Data!$F:$F,CONCATENATE(T$25,"-","?",$P28),Data!$H:$H,$Q28)</f>
        <v>0</v>
      </c>
      <c r="U28" s="805">
        <f ca="1">COUNTIFS(Data!$F:$F,CONCATENATE(U$25,"-","?",$P28),Data!$H:$H,$Q28)</f>
        <v>0</v>
      </c>
      <c r="V28" s="805">
        <f ca="1">COUNTIFS(Data!$F:$F,CONCATENATE(V$25,"-","?",$P28),Data!$H:$H,$Q28)</f>
        <v>0</v>
      </c>
      <c r="W28" s="805">
        <f ca="1">COUNTIFS(Data!$F:$F,CONCATENATE(W$25,"-","?",$P28),Data!$H:$H,$Q28)</f>
        <v>0</v>
      </c>
      <c r="X28" s="805">
        <f ca="1">COUNTIFS(Data!$F:$F,CONCATENATE(X$25,"-","?",$P28),Data!$H:$H,$Q28)</f>
        <v>0</v>
      </c>
      <c r="Y28" s="805">
        <f ca="1">COUNTIFS(Data!$F:$F,CONCATENATE(Y$25,"-","?",$P28),Data!$H:$H,$Q28)</f>
        <v>0</v>
      </c>
      <c r="Z28" s="805">
        <f ca="1">COUNTIFS(Data!$F:$F,CONCATENATE(Z$25,"-","?",$P28),Data!$H:$H,$Q28)</f>
        <v>0</v>
      </c>
      <c r="AA28" s="805">
        <f ca="1">COUNTIFS(Data!$F:$F,CONCATENATE(AA$25,"-","?",$P28),Data!$H:$H,$Q28)</f>
        <v>0</v>
      </c>
      <c r="AB28" s="805">
        <f ca="1">COUNTIFS(Data!$F:$F,CONCATENATE(AB$25,"-","?",$P28),Data!$H:$H,$Q28)</f>
        <v>0</v>
      </c>
      <c r="AC28" s="806"/>
    </row>
    <row r="29" spans="1:29" s="800" customFormat="1" ht="24" customHeight="1" x14ac:dyDescent="0.25">
      <c r="D29" s="801"/>
      <c r="E29" s="802"/>
      <c r="F29" s="801"/>
      <c r="G29" s="801"/>
      <c r="H29" s="801"/>
      <c r="I29" s="801"/>
      <c r="J29" s="801"/>
      <c r="N29" s="801"/>
      <c r="O29" s="803"/>
      <c r="P29" s="805">
        <v>3</v>
      </c>
      <c r="Q29" s="805">
        <v>2</v>
      </c>
      <c r="R29" s="805">
        <f ca="1">COUNTIFS(Data!$F:$F,CONCATENATE(R$25,"-","?",$P29),Data!$H:$H,$Q29)</f>
        <v>0</v>
      </c>
      <c r="S29" s="805">
        <f ca="1">COUNTIFS(Data!$F:$F,CONCATENATE(S$25,"-","?",$P29),Data!$H:$H,$Q29)</f>
        <v>0</v>
      </c>
      <c r="T29" s="805">
        <f ca="1">COUNTIFS(Data!$F:$F,CONCATENATE(T$25,"-","?",$P29),Data!$H:$H,$Q29)</f>
        <v>0</v>
      </c>
      <c r="U29" s="805">
        <f ca="1">COUNTIFS(Data!$F:$F,CONCATENATE(U$25,"-","?",$P29),Data!$H:$H,$Q29)</f>
        <v>0</v>
      </c>
      <c r="V29" s="805">
        <f ca="1">COUNTIFS(Data!$F:$F,CONCATENATE(V$25,"-","?",$P29),Data!$H:$H,$Q29)</f>
        <v>0</v>
      </c>
      <c r="W29" s="805">
        <f ca="1">COUNTIFS(Data!$F:$F,CONCATENATE(W$25,"-","?",$P29),Data!$H:$H,$Q29)</f>
        <v>0</v>
      </c>
      <c r="X29" s="805">
        <f ca="1">COUNTIFS(Data!$F:$F,CONCATENATE(X$25,"-","?",$P29),Data!$H:$H,$Q29)</f>
        <v>0</v>
      </c>
      <c r="Y29" s="805">
        <f ca="1">COUNTIFS(Data!$F:$F,CONCATENATE(Y$25,"-","?",$P29),Data!$H:$H,$Q29)</f>
        <v>0</v>
      </c>
      <c r="Z29" s="805">
        <f ca="1">COUNTIFS(Data!$F:$F,CONCATENATE(Z$25,"-","?",$P29),Data!$H:$H,$Q29)</f>
        <v>0</v>
      </c>
      <c r="AA29" s="805">
        <f ca="1">COUNTIFS(Data!$F:$F,CONCATENATE(AA$25,"-","?",$P29),Data!$H:$H,$Q29)</f>
        <v>0</v>
      </c>
      <c r="AB29" s="805">
        <f ca="1">COUNTIFS(Data!$F:$F,CONCATENATE(AB$25,"-","?",$P29),Data!$H:$H,$Q29)</f>
        <v>0</v>
      </c>
      <c r="AC29" s="806"/>
    </row>
    <row r="30" spans="1:29" s="800" customFormat="1" ht="24" customHeight="1" x14ac:dyDescent="0.25">
      <c r="D30" s="801"/>
      <c r="E30" s="802"/>
      <c r="F30" s="801"/>
      <c r="G30" s="801"/>
      <c r="H30" s="801"/>
      <c r="I30" s="801"/>
      <c r="J30" s="801"/>
      <c r="N30" s="801"/>
      <c r="O30" s="803"/>
      <c r="P30" s="805">
        <v>3</v>
      </c>
      <c r="Q30" s="805">
        <v>1</v>
      </c>
      <c r="R30" s="805">
        <f ca="1">COUNTIFS(Data!$F:$F,CONCATENATE(R$25,"-","?",$P30),Data!$H:$H,$Q30)</f>
        <v>0</v>
      </c>
      <c r="S30" s="805">
        <f ca="1">COUNTIFS(Data!$F:$F,CONCATENATE(S$25,"-","?",$P30),Data!$H:$H,$Q30)</f>
        <v>0</v>
      </c>
      <c r="T30" s="805">
        <f ca="1">COUNTIFS(Data!$F:$F,CONCATENATE(T$25,"-","?",$P30),Data!$H:$H,$Q30)</f>
        <v>0</v>
      </c>
      <c r="U30" s="805">
        <f ca="1">COUNTIFS(Data!$F:$F,CONCATENATE(U$25,"-","?",$P30),Data!$H:$H,$Q30)</f>
        <v>0</v>
      </c>
      <c r="V30" s="805">
        <f ca="1">COUNTIFS(Data!$F:$F,CONCATENATE(V$25,"-","?",$P30),Data!$H:$H,$Q30)</f>
        <v>0</v>
      </c>
      <c r="W30" s="805">
        <f ca="1">COUNTIFS(Data!$F:$F,CONCATENATE(W$25,"-","?",$P30),Data!$H:$H,$Q30)</f>
        <v>0</v>
      </c>
      <c r="X30" s="805">
        <f ca="1">COUNTIFS(Data!$F:$F,CONCATENATE(X$25,"-","?",$P30),Data!$H:$H,$Q30)</f>
        <v>0</v>
      </c>
      <c r="Y30" s="805">
        <f ca="1">COUNTIFS(Data!$F:$F,CONCATENATE(Y$25,"-","?",$P30),Data!$H:$H,$Q30)</f>
        <v>0</v>
      </c>
      <c r="Z30" s="805">
        <f ca="1">COUNTIFS(Data!$F:$F,CONCATENATE(Z$25,"-","?",$P30),Data!$H:$H,$Q30)</f>
        <v>0</v>
      </c>
      <c r="AA30" s="805">
        <f ca="1">COUNTIFS(Data!$F:$F,CONCATENATE(AA$25,"-","?",$P30),Data!$H:$H,$Q30)</f>
        <v>0</v>
      </c>
      <c r="AB30" s="805">
        <f ca="1">COUNTIFS(Data!$F:$F,CONCATENATE(AB$25,"-","?",$P30),Data!$H:$H,$Q30)</f>
        <v>0</v>
      </c>
      <c r="AC30" s="806"/>
    </row>
    <row r="31" spans="1:29" s="800" customFormat="1" ht="27.6" customHeight="1" x14ac:dyDescent="0.25">
      <c r="D31" s="801"/>
      <c r="E31" s="802"/>
      <c r="F31" s="801"/>
      <c r="G31" s="801"/>
      <c r="H31" s="801"/>
      <c r="I31" s="801"/>
      <c r="J31" s="801"/>
      <c r="N31" s="801"/>
      <c r="O31" s="803"/>
      <c r="P31" s="805">
        <v>3</v>
      </c>
      <c r="Q31" s="1140" t="s">
        <v>3060</v>
      </c>
      <c r="R31" s="805">
        <f ca="1">COUNTIFS(Data!$F:$F,CONCATENATE(R$25,"-","?",$P31),Data!$H:$H,$Q31)</f>
        <v>0</v>
      </c>
      <c r="S31" s="805">
        <f ca="1">COUNTIFS(Data!$F:$F,CONCATENATE(S$25,"-","?",$P31),Data!$H:$H,$Q31)</f>
        <v>0</v>
      </c>
      <c r="T31" s="805">
        <f ca="1">COUNTIFS(Data!$F:$F,CONCATENATE(T$25,"-","?",$P31),Data!$H:$H,$Q31)</f>
        <v>0</v>
      </c>
      <c r="U31" s="805">
        <f ca="1">COUNTIFS(Data!$F:$F,CONCATENATE(U$25,"-","?",$P31),Data!$H:$H,$Q31)</f>
        <v>0</v>
      </c>
      <c r="V31" s="805">
        <f ca="1">COUNTIFS(Data!$F:$F,CONCATENATE(V$25,"-","?",$P31),Data!$H:$H,$Q31)</f>
        <v>0</v>
      </c>
      <c r="W31" s="805">
        <f ca="1">COUNTIFS(Data!$F:$F,CONCATENATE(W$25,"-","?",$P31),Data!$H:$H,$Q31)</f>
        <v>0</v>
      </c>
      <c r="X31" s="805">
        <f ca="1">COUNTIFS(Data!$F:$F,CONCATENATE(X$25,"-","?",$P31),Data!$H:$H,$Q31)</f>
        <v>0</v>
      </c>
      <c r="Y31" s="805">
        <f ca="1">COUNTIFS(Data!$F:$F,CONCATENATE(Y$25,"-","?",$P31),Data!$H:$H,$Q31)</f>
        <v>0</v>
      </c>
      <c r="Z31" s="805">
        <f ca="1">COUNTIFS(Data!$F:$F,CONCATENATE(Z$25,"-","?",$P31),Data!$H:$H,$Q31)</f>
        <v>0</v>
      </c>
      <c r="AA31" s="805">
        <f ca="1">COUNTIFS(Data!$F:$F,CONCATENATE(AA$25,"-","?",$P31),Data!$H:$H,$Q31)</f>
        <v>0</v>
      </c>
      <c r="AB31" s="805">
        <f ca="1">COUNTIFS(Data!$F:$F,CONCATENATE(AB$25,"-","?",$P31),Data!$H:$H,$Q31)</f>
        <v>0</v>
      </c>
      <c r="AC31" s="806"/>
    </row>
    <row r="32" spans="1:29" s="800" customFormat="1" ht="24" customHeight="1" x14ac:dyDescent="0.25">
      <c r="D32" s="801"/>
      <c r="E32" s="802"/>
      <c r="F32" s="801"/>
      <c r="G32" s="801"/>
      <c r="H32" s="801"/>
      <c r="I32" s="801"/>
      <c r="J32" s="801"/>
      <c r="N32" s="801"/>
      <c r="O32" s="803"/>
      <c r="P32" s="804" t="s">
        <v>2303</v>
      </c>
      <c r="Q32" s="804" t="s">
        <v>667</v>
      </c>
      <c r="R32" s="804">
        <v>12</v>
      </c>
      <c r="S32" s="804">
        <v>13</v>
      </c>
      <c r="T32" s="804">
        <v>11</v>
      </c>
      <c r="U32" s="804">
        <v>17</v>
      </c>
      <c r="V32" s="804">
        <v>14</v>
      </c>
      <c r="W32" s="804">
        <v>12</v>
      </c>
      <c r="X32" s="804">
        <v>22</v>
      </c>
      <c r="Y32" s="804">
        <v>9</v>
      </c>
      <c r="Z32" s="804">
        <v>11</v>
      </c>
      <c r="AA32" s="804">
        <v>27</v>
      </c>
      <c r="AB32" s="804">
        <v>14</v>
      </c>
      <c r="AC32" s="806"/>
    </row>
    <row r="33" spans="4:29" s="800" customFormat="1" ht="24" customHeight="1" x14ac:dyDescent="0.25">
      <c r="D33" s="801"/>
      <c r="E33" s="802"/>
      <c r="F33" s="801"/>
      <c r="G33" s="801"/>
      <c r="H33" s="801"/>
      <c r="I33" s="801"/>
      <c r="J33" s="801"/>
      <c r="N33" s="801"/>
      <c r="O33" s="803"/>
      <c r="P33" s="805">
        <v>2</v>
      </c>
      <c r="Q33" s="805">
        <v>4</v>
      </c>
      <c r="R33" s="805">
        <f ca="1">COUNTIFS(Data!$F:$F,CONCATENATE(R$25,"-","?",$P33),Data!$H:$H,$Q33)</f>
        <v>0</v>
      </c>
      <c r="S33" s="805">
        <f ca="1">COUNTIFS(Data!$F:$F,CONCATENATE(S$25,"-","?",$P33),Data!$H:$H,$Q33)</f>
        <v>0</v>
      </c>
      <c r="T33" s="805">
        <f ca="1">COUNTIFS(Data!$F:$F,CONCATENATE(T$25,"-","?",$P33),Data!$H:$H,$Q33)</f>
        <v>0</v>
      </c>
      <c r="U33" s="805">
        <f ca="1">COUNTIFS(Data!$F:$F,CONCATENATE(U$25,"-","?",$P33),Data!$H:$H,$Q33)</f>
        <v>0</v>
      </c>
      <c r="V33" s="805">
        <f ca="1">COUNTIFS(Data!$F:$F,CONCATENATE(V$25,"-","?",$P33),Data!$H:$H,$Q33)</f>
        <v>0</v>
      </c>
      <c r="W33" s="805">
        <f ca="1">COUNTIFS(Data!$F:$F,CONCATENATE(W$25,"-","?",$P33),Data!$H:$H,$Q33)</f>
        <v>0</v>
      </c>
      <c r="X33" s="805">
        <f ca="1">COUNTIFS(Data!$F:$F,CONCATENATE(X$25,"-","?",$P33),Data!$H:$H,$Q33)</f>
        <v>0</v>
      </c>
      <c r="Y33" s="805">
        <f ca="1">COUNTIFS(Data!$F:$F,CONCATENATE(Y$25,"-","?",$P33),Data!$H:$H,$Q33)</f>
        <v>0</v>
      </c>
      <c r="Z33" s="805">
        <f ca="1">COUNTIFS(Data!$F:$F,CONCATENATE(Z$25,"-","?",$P33),Data!$H:$H,$Q33)</f>
        <v>0</v>
      </c>
      <c r="AA33" s="805">
        <f ca="1">COUNTIFS(Data!$F:$F,CONCATENATE(AA$25,"-","?",$P33),Data!$H:$H,$Q33)</f>
        <v>0</v>
      </c>
      <c r="AB33" s="805">
        <f ca="1">COUNTIFS(Data!$F:$F,CONCATENATE(AB$25,"-","?",$P33),Data!$H:$H,$Q33)</f>
        <v>0</v>
      </c>
      <c r="AC33" s="806"/>
    </row>
    <row r="34" spans="4:29" s="800" customFormat="1" ht="24" customHeight="1" x14ac:dyDescent="0.25">
      <c r="D34" s="801"/>
      <c r="E34" s="802"/>
      <c r="F34" s="801"/>
      <c r="G34" s="801"/>
      <c r="H34" s="801"/>
      <c r="I34" s="801"/>
      <c r="J34" s="801"/>
      <c r="N34" s="801"/>
      <c r="O34" s="803"/>
      <c r="P34" s="805">
        <v>2</v>
      </c>
      <c r="Q34" s="805">
        <v>3</v>
      </c>
      <c r="R34" s="805">
        <f ca="1">COUNTIFS(Data!$F:$F,CONCATENATE(R$25,"-","?",$P34),Data!$H:$H,$Q34)</f>
        <v>0</v>
      </c>
      <c r="S34" s="805">
        <f ca="1">COUNTIFS(Data!$F:$F,CONCATENATE(S$25,"-","?",$P34),Data!$H:$H,$Q34)</f>
        <v>0</v>
      </c>
      <c r="T34" s="805">
        <f ca="1">COUNTIFS(Data!$F:$F,CONCATENATE(T$25,"-","?",$P34),Data!$H:$H,$Q34)</f>
        <v>0</v>
      </c>
      <c r="U34" s="805">
        <f ca="1">COUNTIFS(Data!$F:$F,CONCATENATE(U$25,"-","?",$P34),Data!$H:$H,$Q34)</f>
        <v>0</v>
      </c>
      <c r="V34" s="805">
        <f ca="1">COUNTIFS(Data!$F:$F,CONCATENATE(V$25,"-","?",$P34),Data!$H:$H,$Q34)</f>
        <v>0</v>
      </c>
      <c r="W34" s="805">
        <f ca="1">COUNTIFS(Data!$F:$F,CONCATENATE(W$25,"-","?",$P34),Data!$H:$H,$Q34)</f>
        <v>0</v>
      </c>
      <c r="X34" s="805">
        <f ca="1">COUNTIFS(Data!$F:$F,CONCATENATE(X$25,"-","?",$P34),Data!$H:$H,$Q34)</f>
        <v>0</v>
      </c>
      <c r="Y34" s="805">
        <f ca="1">COUNTIFS(Data!$F:$F,CONCATENATE(Y$25,"-","?",$P34),Data!$H:$H,$Q34)</f>
        <v>0</v>
      </c>
      <c r="Z34" s="805">
        <f ca="1">COUNTIFS(Data!$F:$F,CONCATENATE(Z$25,"-","?",$P34),Data!$H:$H,$Q34)</f>
        <v>0</v>
      </c>
      <c r="AA34" s="805">
        <f ca="1">COUNTIFS(Data!$F:$F,CONCATENATE(AA$25,"-","?",$P34),Data!$H:$H,$Q34)</f>
        <v>0</v>
      </c>
      <c r="AB34" s="805">
        <f ca="1">COUNTIFS(Data!$F:$F,CONCATENATE(AB$25,"-","?",$P34),Data!$H:$H,$Q34)</f>
        <v>0</v>
      </c>
      <c r="AC34" s="806"/>
    </row>
    <row r="35" spans="4:29" s="800" customFormat="1" ht="24" customHeight="1" x14ac:dyDescent="0.25">
      <c r="D35" s="801"/>
      <c r="E35" s="802"/>
      <c r="F35" s="801"/>
      <c r="G35" s="801"/>
      <c r="H35" s="801"/>
      <c r="I35" s="801"/>
      <c r="J35" s="801"/>
      <c r="N35" s="801"/>
      <c r="O35" s="803"/>
      <c r="P35" s="805">
        <v>2</v>
      </c>
      <c r="Q35" s="805">
        <v>2</v>
      </c>
      <c r="R35" s="805">
        <f ca="1">COUNTIFS(Data!$F:$F,CONCATENATE(R$25,"-","?",$P35),Data!$H:$H,$Q35)</f>
        <v>0</v>
      </c>
      <c r="S35" s="805">
        <f ca="1">COUNTIFS(Data!$F:$F,CONCATENATE(S$25,"-","?",$P35),Data!$H:$H,$Q35)</f>
        <v>0</v>
      </c>
      <c r="T35" s="805">
        <f ca="1">COUNTIFS(Data!$F:$F,CONCATENATE(T$25,"-","?",$P35),Data!$H:$H,$Q35)</f>
        <v>0</v>
      </c>
      <c r="U35" s="805">
        <f ca="1">COUNTIFS(Data!$F:$F,CONCATENATE(U$25,"-","?",$P35),Data!$H:$H,$Q35)</f>
        <v>0</v>
      </c>
      <c r="V35" s="805">
        <f ca="1">COUNTIFS(Data!$F:$F,CONCATENATE(V$25,"-","?",$P35),Data!$H:$H,$Q35)</f>
        <v>0</v>
      </c>
      <c r="W35" s="805">
        <f ca="1">COUNTIFS(Data!$F:$F,CONCATENATE(W$25,"-","?",$P35),Data!$H:$H,$Q35)</f>
        <v>0</v>
      </c>
      <c r="X35" s="805">
        <f ca="1">COUNTIFS(Data!$F:$F,CONCATENATE(X$25,"-","?",$P35),Data!$H:$H,$Q35)</f>
        <v>0</v>
      </c>
      <c r="Y35" s="805">
        <f ca="1">COUNTIFS(Data!$F:$F,CONCATENATE(Y$25,"-","?",$P35),Data!$H:$H,$Q35)</f>
        <v>0</v>
      </c>
      <c r="Z35" s="805">
        <f ca="1">COUNTIFS(Data!$F:$F,CONCATENATE(Z$25,"-","?",$P35),Data!$H:$H,$Q35)</f>
        <v>0</v>
      </c>
      <c r="AA35" s="805">
        <f ca="1">COUNTIFS(Data!$F:$F,CONCATENATE(AA$25,"-","?",$P35),Data!$H:$H,$Q35)</f>
        <v>0</v>
      </c>
      <c r="AB35" s="805">
        <f ca="1">COUNTIFS(Data!$F:$F,CONCATENATE(AB$25,"-","?",$P35),Data!$H:$H,$Q35)</f>
        <v>0</v>
      </c>
      <c r="AC35" s="806"/>
    </row>
    <row r="36" spans="4:29" s="800" customFormat="1" ht="24" customHeight="1" x14ac:dyDescent="0.25">
      <c r="D36" s="801"/>
      <c r="E36" s="802"/>
      <c r="F36" s="801"/>
      <c r="G36" s="801"/>
      <c r="H36" s="801"/>
      <c r="I36" s="801"/>
      <c r="J36" s="801"/>
      <c r="N36" s="801"/>
      <c r="O36" s="803"/>
      <c r="P36" s="805">
        <v>2</v>
      </c>
      <c r="Q36" s="805">
        <v>1</v>
      </c>
      <c r="R36" s="805">
        <f ca="1">COUNTIFS(Data!$F:$F,CONCATENATE(R$25,"-","?",$P36),Data!$H:$H,$Q36)</f>
        <v>0</v>
      </c>
      <c r="S36" s="805">
        <f ca="1">COUNTIFS(Data!$F:$F,CONCATENATE(S$25,"-","?",$P36),Data!$H:$H,$Q36)</f>
        <v>0</v>
      </c>
      <c r="T36" s="805">
        <f ca="1">COUNTIFS(Data!$F:$F,CONCATENATE(T$25,"-","?",$P36),Data!$H:$H,$Q36)</f>
        <v>0</v>
      </c>
      <c r="U36" s="805">
        <f ca="1">COUNTIFS(Data!$F:$F,CONCATENATE(U$25,"-","?",$P36),Data!$H:$H,$Q36)</f>
        <v>0</v>
      </c>
      <c r="V36" s="805">
        <f ca="1">COUNTIFS(Data!$F:$F,CONCATENATE(V$25,"-","?",$P36),Data!$H:$H,$Q36)</f>
        <v>0</v>
      </c>
      <c r="W36" s="805">
        <f ca="1">COUNTIFS(Data!$F:$F,CONCATENATE(W$25,"-","?",$P36),Data!$H:$H,$Q36)</f>
        <v>0</v>
      </c>
      <c r="X36" s="805">
        <f ca="1">COUNTIFS(Data!$F:$F,CONCATENATE(X$25,"-","?",$P36),Data!$H:$H,$Q36)</f>
        <v>0</v>
      </c>
      <c r="Y36" s="805">
        <f ca="1">COUNTIFS(Data!$F:$F,CONCATENATE(Y$25,"-","?",$P36),Data!$H:$H,$Q36)</f>
        <v>0</v>
      </c>
      <c r="Z36" s="805">
        <f ca="1">COUNTIFS(Data!$F:$F,CONCATENATE(Z$25,"-","?",$P36),Data!$H:$H,$Q36)</f>
        <v>0</v>
      </c>
      <c r="AA36" s="805">
        <f ca="1">COUNTIFS(Data!$F:$F,CONCATENATE(AA$25,"-","?",$P36),Data!$H:$H,$Q36)</f>
        <v>0</v>
      </c>
      <c r="AB36" s="805">
        <f ca="1">COUNTIFS(Data!$F:$F,CONCATENATE(AB$25,"-","?",$P36),Data!$H:$H,$Q36)</f>
        <v>0</v>
      </c>
      <c r="AC36" s="806"/>
    </row>
    <row r="37" spans="4:29" s="800" customFormat="1" ht="24" customHeight="1" x14ac:dyDescent="0.25">
      <c r="D37" s="801"/>
      <c r="E37" s="802"/>
      <c r="F37" s="801"/>
      <c r="G37" s="801"/>
      <c r="H37" s="801"/>
      <c r="I37" s="801"/>
      <c r="J37" s="801"/>
      <c r="N37" s="801"/>
      <c r="O37" s="803"/>
      <c r="P37" s="805">
        <v>2</v>
      </c>
      <c r="Q37" s="1140" t="s">
        <v>3060</v>
      </c>
      <c r="R37" s="805">
        <f ca="1">COUNTIFS(Data!$F:$F,CONCATENATE(R$25,"-","?",$P37),Data!$H:$H,$Q37)</f>
        <v>0</v>
      </c>
      <c r="S37" s="805">
        <f ca="1">COUNTIFS(Data!$F:$F,CONCATENATE(S$25,"-","?",$P37),Data!$H:$H,$Q37)</f>
        <v>0</v>
      </c>
      <c r="T37" s="805">
        <f ca="1">COUNTIFS(Data!$F:$F,CONCATENATE(T$25,"-","?",$P37),Data!$H:$H,$Q37)</f>
        <v>0</v>
      </c>
      <c r="U37" s="805">
        <f ca="1">COUNTIFS(Data!$F:$F,CONCATENATE(U$25,"-","?",$P37),Data!$H:$H,$Q37)</f>
        <v>0</v>
      </c>
      <c r="V37" s="805">
        <f ca="1">COUNTIFS(Data!$F:$F,CONCATENATE(V$25,"-","?",$P37),Data!$H:$H,$Q37)</f>
        <v>0</v>
      </c>
      <c r="W37" s="805">
        <f ca="1">COUNTIFS(Data!$F:$F,CONCATENATE(W$25,"-","?",$P37),Data!$H:$H,$Q37)</f>
        <v>0</v>
      </c>
      <c r="X37" s="805">
        <f ca="1">COUNTIFS(Data!$F:$F,CONCATENATE(X$25,"-","?",$P37),Data!$H:$H,$Q37)</f>
        <v>0</v>
      </c>
      <c r="Y37" s="805">
        <f ca="1">COUNTIFS(Data!$F:$F,CONCATENATE(Y$25,"-","?",$P37),Data!$H:$H,$Q37)</f>
        <v>0</v>
      </c>
      <c r="Z37" s="805">
        <f ca="1">COUNTIFS(Data!$F:$F,CONCATENATE(Z$25,"-","?",$P37),Data!$H:$H,$Q37)</f>
        <v>0</v>
      </c>
      <c r="AA37" s="805">
        <f ca="1">COUNTIFS(Data!$F:$F,CONCATENATE(AA$25,"-","?",$P37),Data!$H:$H,$Q37)</f>
        <v>0</v>
      </c>
      <c r="AB37" s="805">
        <f ca="1">COUNTIFS(Data!$F:$F,CONCATENATE(AB$25,"-","?",$P37),Data!$H:$H,$Q37)</f>
        <v>0</v>
      </c>
      <c r="AC37" s="806"/>
    </row>
    <row r="38" spans="4:29" s="800" customFormat="1" ht="24" customHeight="1" x14ac:dyDescent="0.25">
      <c r="D38" s="801"/>
      <c r="E38" s="802"/>
      <c r="F38" s="801"/>
      <c r="G38" s="801"/>
      <c r="H38" s="801"/>
      <c r="I38" s="801"/>
      <c r="J38" s="801"/>
      <c r="N38" s="801"/>
      <c r="O38" s="803"/>
      <c r="P38" s="804" t="s">
        <v>883</v>
      </c>
      <c r="Q38" s="804" t="s">
        <v>667</v>
      </c>
      <c r="R38" s="804">
        <v>10</v>
      </c>
      <c r="S38" s="804">
        <v>5</v>
      </c>
      <c r="T38" s="804">
        <v>7</v>
      </c>
      <c r="U38" s="804">
        <v>4</v>
      </c>
      <c r="V38" s="804">
        <v>8</v>
      </c>
      <c r="W38" s="804">
        <v>3</v>
      </c>
      <c r="X38" s="804">
        <v>9</v>
      </c>
      <c r="Y38" s="804">
        <v>4</v>
      </c>
      <c r="Z38" s="804">
        <v>7</v>
      </c>
      <c r="AA38" s="804">
        <v>4</v>
      </c>
      <c r="AB38" s="804">
        <v>3</v>
      </c>
      <c r="AC38" s="806"/>
    </row>
    <row r="39" spans="4:29" s="800" customFormat="1" ht="24" customHeight="1" x14ac:dyDescent="0.25">
      <c r="D39" s="801"/>
      <c r="E39" s="802"/>
      <c r="F39" s="801"/>
      <c r="G39" s="801"/>
      <c r="H39" s="801"/>
      <c r="I39" s="801"/>
      <c r="J39" s="801"/>
      <c r="N39" s="801"/>
      <c r="O39" s="803"/>
      <c r="P39" s="805">
        <v>1</v>
      </c>
      <c r="Q39" s="805">
        <v>4</v>
      </c>
      <c r="R39" s="805">
        <f ca="1">COUNTIFS(Data!$F:$F,CONCATENATE(R$25,"-","?",$P39),Data!$H:$H,$Q39)</f>
        <v>0</v>
      </c>
      <c r="S39" s="805">
        <f ca="1">COUNTIFS(Data!$F:$F,CONCATENATE(S$25,"-","?",$P39),Data!$H:$H,$Q39)</f>
        <v>0</v>
      </c>
      <c r="T39" s="805">
        <f ca="1">COUNTIFS(Data!$F:$F,CONCATENATE(T$25,"-","?",$P39),Data!$H:$H,$Q39)</f>
        <v>0</v>
      </c>
      <c r="U39" s="805">
        <f ca="1">COUNTIFS(Data!$F:$F,CONCATENATE(U$25,"-","?",$P39),Data!$H:$H,$Q39)</f>
        <v>0</v>
      </c>
      <c r="V39" s="805">
        <f ca="1">COUNTIFS(Data!$F:$F,CONCATENATE(V$25,"-","?",$P39),Data!$H:$H,$Q39)</f>
        <v>0</v>
      </c>
      <c r="W39" s="805">
        <f ca="1">COUNTIFS(Data!$F:$F,CONCATENATE(W$25,"-","?",$P39),Data!$H:$H,$Q39)</f>
        <v>0</v>
      </c>
      <c r="X39" s="805">
        <f ca="1">COUNTIFS(Data!$F:$F,CONCATENATE(X$25,"-","?",$P39),Data!$H:$H,$Q39)</f>
        <v>0</v>
      </c>
      <c r="Y39" s="805">
        <f ca="1">COUNTIFS(Data!$F:$F,CONCATENATE(Y$25,"-","?",$P39),Data!$H:$H,$Q39)</f>
        <v>0</v>
      </c>
      <c r="Z39" s="805">
        <f ca="1">COUNTIFS(Data!$F:$F,CONCATENATE(Z$25,"-","?",$P39),Data!$H:$H,$Q39)</f>
        <v>0</v>
      </c>
      <c r="AA39" s="805">
        <f ca="1">COUNTIFS(Data!$F:$F,CONCATENATE(AA$25,"-","?",$P39),Data!$H:$H,$Q39)</f>
        <v>0</v>
      </c>
      <c r="AB39" s="805">
        <f ca="1">COUNTIFS(Data!$F:$F,CONCATENATE(AB$25,"-","?",$P39),Data!$H:$H,$Q39)</f>
        <v>0</v>
      </c>
      <c r="AC39" s="806"/>
    </row>
    <row r="40" spans="4:29" s="800" customFormat="1" ht="24" customHeight="1" x14ac:dyDescent="0.25">
      <c r="D40" s="801"/>
      <c r="E40" s="802"/>
      <c r="F40" s="801"/>
      <c r="G40" s="801"/>
      <c r="H40" s="801"/>
      <c r="I40" s="801"/>
      <c r="J40" s="801"/>
      <c r="N40" s="801"/>
      <c r="O40" s="803"/>
      <c r="P40" s="805">
        <v>1</v>
      </c>
      <c r="Q40" s="805">
        <v>3</v>
      </c>
      <c r="R40" s="805">
        <f ca="1">COUNTIFS(Data!$F:$F,CONCATENATE(R$25,"-","?",$P40),Data!$H:$H,$Q40)</f>
        <v>0</v>
      </c>
      <c r="S40" s="805">
        <f ca="1">COUNTIFS(Data!$F:$F,CONCATENATE(S$25,"-","?",$P40),Data!$H:$H,$Q40)</f>
        <v>0</v>
      </c>
      <c r="T40" s="805">
        <f ca="1">COUNTIFS(Data!$F:$F,CONCATENATE(T$25,"-","?",$P40),Data!$H:$H,$Q40)</f>
        <v>0</v>
      </c>
      <c r="U40" s="805">
        <f ca="1">COUNTIFS(Data!$F:$F,CONCATENATE(U$25,"-","?",$P40),Data!$H:$H,$Q40)</f>
        <v>0</v>
      </c>
      <c r="V40" s="805">
        <f ca="1">COUNTIFS(Data!$F:$F,CONCATENATE(V$25,"-","?",$P40),Data!$H:$H,$Q40)</f>
        <v>0</v>
      </c>
      <c r="W40" s="805">
        <f ca="1">COUNTIFS(Data!$F:$F,CONCATENATE(W$25,"-","?",$P40),Data!$H:$H,$Q40)</f>
        <v>0</v>
      </c>
      <c r="X40" s="805">
        <f ca="1">COUNTIFS(Data!$F:$F,CONCATENATE(X$25,"-","?",$P40),Data!$H:$H,$Q40)</f>
        <v>0</v>
      </c>
      <c r="Y40" s="805">
        <f ca="1">COUNTIFS(Data!$F:$F,CONCATENATE(Y$25,"-","?",$P40),Data!$H:$H,$Q40)</f>
        <v>0</v>
      </c>
      <c r="Z40" s="805">
        <f ca="1">COUNTIFS(Data!$F:$F,CONCATENATE(Z$25,"-","?",$P40),Data!$H:$H,$Q40)</f>
        <v>0</v>
      </c>
      <c r="AA40" s="805">
        <f ca="1">COUNTIFS(Data!$F:$F,CONCATENATE(AA$25,"-","?",$P40),Data!$H:$H,$Q40)</f>
        <v>0</v>
      </c>
      <c r="AB40" s="805">
        <f ca="1">COUNTIFS(Data!$F:$F,CONCATENATE(AB$25,"-","?",$P40),Data!$H:$H,$Q40)</f>
        <v>0</v>
      </c>
      <c r="AC40" s="806"/>
    </row>
    <row r="41" spans="4:29" s="800" customFormat="1" ht="24" customHeight="1" x14ac:dyDescent="0.25">
      <c r="D41" s="801"/>
      <c r="E41" s="802"/>
      <c r="F41" s="801"/>
      <c r="G41" s="801"/>
      <c r="H41" s="801"/>
      <c r="I41" s="801"/>
      <c r="J41" s="801"/>
      <c r="N41" s="801"/>
      <c r="O41" s="803"/>
      <c r="P41" s="805">
        <v>1</v>
      </c>
      <c r="Q41" s="805">
        <v>2</v>
      </c>
      <c r="R41" s="805">
        <f ca="1">COUNTIFS(Data!$F:$F,CONCATENATE(R$25,"-","?",$P41),Data!$H:$H,$Q41)</f>
        <v>0</v>
      </c>
      <c r="S41" s="805">
        <f ca="1">COUNTIFS(Data!$F:$F,CONCATENATE(S$25,"-","?",$P41),Data!$H:$H,$Q41)</f>
        <v>0</v>
      </c>
      <c r="T41" s="805">
        <f ca="1">COUNTIFS(Data!$F:$F,CONCATENATE(T$25,"-","?",$P41),Data!$H:$H,$Q41)</f>
        <v>0</v>
      </c>
      <c r="U41" s="805">
        <f ca="1">COUNTIFS(Data!$F:$F,CONCATENATE(U$25,"-","?",$P41),Data!$H:$H,$Q41)</f>
        <v>0</v>
      </c>
      <c r="V41" s="805">
        <f ca="1">COUNTIFS(Data!$F:$F,CONCATENATE(V$25,"-","?",$P41),Data!$H:$H,$Q41)</f>
        <v>0</v>
      </c>
      <c r="W41" s="805">
        <f ca="1">COUNTIFS(Data!$F:$F,CONCATENATE(W$25,"-","?",$P41),Data!$H:$H,$Q41)</f>
        <v>0</v>
      </c>
      <c r="X41" s="805">
        <f ca="1">COUNTIFS(Data!$F:$F,CONCATENATE(X$25,"-","?",$P41),Data!$H:$H,$Q41)</f>
        <v>0</v>
      </c>
      <c r="Y41" s="805">
        <f ca="1">COUNTIFS(Data!$F:$F,CONCATENATE(Y$25,"-","?",$P41),Data!$H:$H,$Q41)</f>
        <v>0</v>
      </c>
      <c r="Z41" s="805">
        <f ca="1">COUNTIFS(Data!$F:$F,CONCATENATE(Z$25,"-","?",$P41),Data!$H:$H,$Q41)</f>
        <v>0</v>
      </c>
      <c r="AA41" s="805">
        <f ca="1">COUNTIFS(Data!$F:$F,CONCATENATE(AA$25,"-","?",$P41),Data!$H:$H,$Q41)</f>
        <v>0</v>
      </c>
      <c r="AB41" s="805">
        <f ca="1">COUNTIFS(Data!$F:$F,CONCATENATE(AB$25,"-","?",$P41),Data!$H:$H,$Q41)</f>
        <v>0</v>
      </c>
      <c r="AC41" s="806"/>
    </row>
    <row r="42" spans="4:29" s="800" customFormat="1" ht="24" customHeight="1" x14ac:dyDescent="0.25">
      <c r="D42" s="801"/>
      <c r="E42" s="802"/>
      <c r="F42" s="801"/>
      <c r="G42" s="801"/>
      <c r="H42" s="801"/>
      <c r="I42" s="801"/>
      <c r="J42" s="801"/>
      <c r="N42" s="801"/>
      <c r="O42" s="803"/>
      <c r="P42" s="805">
        <v>1</v>
      </c>
      <c r="Q42" s="805">
        <v>1</v>
      </c>
      <c r="R42" s="805">
        <f ca="1">COUNTIFS(Data!$F:$F,CONCATENATE(R$25,"-","?",$P42),Data!$H:$H,$Q42)</f>
        <v>0</v>
      </c>
      <c r="S42" s="805">
        <f ca="1">COUNTIFS(Data!$F:$F,CONCATENATE(S$25,"-","?",$P42),Data!$H:$H,$Q42)</f>
        <v>0</v>
      </c>
      <c r="T42" s="805">
        <f ca="1">COUNTIFS(Data!$F:$F,CONCATENATE(T$25,"-","?",$P42),Data!$H:$H,$Q42)</f>
        <v>0</v>
      </c>
      <c r="U42" s="805">
        <f ca="1">COUNTIFS(Data!$F:$F,CONCATENATE(U$25,"-","?",$P42),Data!$H:$H,$Q42)</f>
        <v>0</v>
      </c>
      <c r="V42" s="805">
        <f ca="1">COUNTIFS(Data!$F:$F,CONCATENATE(V$25,"-","?",$P42),Data!$H:$H,$Q42)</f>
        <v>0</v>
      </c>
      <c r="W42" s="805">
        <f ca="1">COUNTIFS(Data!$F:$F,CONCATENATE(W$25,"-","?",$P42),Data!$H:$H,$Q42)</f>
        <v>0</v>
      </c>
      <c r="X42" s="805">
        <f ca="1">COUNTIFS(Data!$F:$F,CONCATENATE(X$25,"-","?",$P42),Data!$H:$H,$Q42)</f>
        <v>0</v>
      </c>
      <c r="Y42" s="805">
        <f ca="1">COUNTIFS(Data!$F:$F,CONCATENATE(Y$25,"-","?",$P42),Data!$H:$H,$Q42)</f>
        <v>0</v>
      </c>
      <c r="Z42" s="805">
        <f ca="1">COUNTIFS(Data!$F:$F,CONCATENATE(Z$25,"-","?",$P42),Data!$H:$H,$Q42)</f>
        <v>0</v>
      </c>
      <c r="AA42" s="805">
        <f ca="1">COUNTIFS(Data!$F:$F,CONCATENATE(AA$25,"-","?",$P42),Data!$H:$H,$Q42)</f>
        <v>0</v>
      </c>
      <c r="AB42" s="805">
        <f ca="1">COUNTIFS(Data!$F:$F,CONCATENATE(AB$25,"-","?",$P42),Data!$H:$H,$Q42)</f>
        <v>0</v>
      </c>
      <c r="AC42" s="806"/>
    </row>
    <row r="43" spans="4:29" s="800" customFormat="1" ht="24" customHeight="1" x14ac:dyDescent="0.25">
      <c r="D43" s="801"/>
      <c r="E43" s="802"/>
      <c r="F43" s="801"/>
      <c r="G43" s="801"/>
      <c r="H43" s="801"/>
      <c r="I43" s="801"/>
      <c r="J43" s="801"/>
      <c r="N43" s="801"/>
      <c r="O43" s="803"/>
      <c r="P43" s="805">
        <v>1</v>
      </c>
      <c r="Q43" s="1140" t="s">
        <v>3060</v>
      </c>
      <c r="R43" s="805">
        <f ca="1">COUNTIFS(Data!$F:$F,CONCATENATE(R$25,"-","?",$P43),Data!$H:$H,$Q43)</f>
        <v>0</v>
      </c>
      <c r="S43" s="805">
        <f ca="1">COUNTIFS(Data!$F:$F,CONCATENATE(S$25,"-","?",$P43),Data!$H:$H,$Q43)</f>
        <v>0</v>
      </c>
      <c r="T43" s="805">
        <f ca="1">COUNTIFS(Data!$F:$F,CONCATENATE(T$25,"-","?",$P43),Data!$H:$H,$Q43)</f>
        <v>0</v>
      </c>
      <c r="U43" s="805">
        <f ca="1">COUNTIFS(Data!$F:$F,CONCATENATE(U$25,"-","?",$P43),Data!$H:$H,$Q43)</f>
        <v>0</v>
      </c>
      <c r="V43" s="805">
        <f ca="1">COUNTIFS(Data!$F:$F,CONCATENATE(V$25,"-","?",$P43),Data!$H:$H,$Q43)</f>
        <v>0</v>
      </c>
      <c r="W43" s="805">
        <f ca="1">COUNTIFS(Data!$F:$F,CONCATENATE(W$25,"-","?",$P43),Data!$H:$H,$Q43)</f>
        <v>0</v>
      </c>
      <c r="X43" s="805">
        <f ca="1">COUNTIFS(Data!$F:$F,CONCATENATE(X$25,"-","?",$P43),Data!$H:$H,$Q43)</f>
        <v>0</v>
      </c>
      <c r="Y43" s="805">
        <f ca="1">COUNTIFS(Data!$F:$F,CONCATENATE(Y$25,"-","?",$P43),Data!$H:$H,$Q43)</f>
        <v>0</v>
      </c>
      <c r="Z43" s="805">
        <f ca="1">COUNTIFS(Data!$F:$F,CONCATENATE(Z$25,"-","?",$P43),Data!$H:$H,$Q43)</f>
        <v>0</v>
      </c>
      <c r="AA43" s="805">
        <f ca="1">COUNTIFS(Data!$F:$F,CONCATENATE(AA$25,"-","?",$P43),Data!$H:$H,$Q43)</f>
        <v>0</v>
      </c>
      <c r="AB43" s="805">
        <f ca="1">COUNTIFS(Data!$F:$F,CONCATENATE(AB$25,"-","?",$P43),Data!$H:$H,$Q43)</f>
        <v>0</v>
      </c>
      <c r="AC43" s="806"/>
    </row>
    <row r="44" spans="4:29" x14ac:dyDescent="0.25">
      <c r="P44" s="5"/>
      <c r="Q44" s="786"/>
      <c r="R44" s="786"/>
      <c r="S44" s="786"/>
      <c r="T44" s="786"/>
      <c r="U44" s="786"/>
      <c r="V44" s="786"/>
      <c r="W44" s="786"/>
      <c r="X44" s="786"/>
      <c r="Y44" s="786"/>
      <c r="Z44" s="787"/>
      <c r="AA44" s="787"/>
      <c r="AB44" s="787"/>
      <c r="AC44" s="787"/>
    </row>
    <row r="45" spans="4:29" x14ac:dyDescent="0.2">
      <c r="P45" s="5"/>
      <c r="Q45" s="786"/>
      <c r="R45" s="786"/>
      <c r="S45" s="788"/>
      <c r="T45" s="788"/>
      <c r="U45" s="788"/>
      <c r="V45" s="788"/>
      <c r="W45" s="788"/>
      <c r="X45" s="786"/>
      <c r="Y45" s="786"/>
      <c r="Z45" s="787"/>
      <c r="AA45" s="787"/>
      <c r="AB45" s="787"/>
      <c r="AC45" s="787"/>
    </row>
    <row r="46" spans="4:29" x14ac:dyDescent="0.25">
      <c r="P46" s="789"/>
      <c r="Q46" s="789"/>
      <c r="R46" s="789"/>
      <c r="S46" s="789"/>
      <c r="T46" s="789"/>
      <c r="U46" s="789"/>
      <c r="V46" s="789"/>
      <c r="W46" s="789"/>
      <c r="X46" s="786"/>
      <c r="Y46" s="786"/>
      <c r="Z46" s="787"/>
      <c r="AA46" s="787"/>
      <c r="AB46" s="787"/>
      <c r="AC46" s="787"/>
    </row>
    <row r="47" spans="4:29" x14ac:dyDescent="0.25">
      <c r="P47" s="789"/>
      <c r="Q47" s="789"/>
      <c r="R47" s="789"/>
      <c r="S47" s="789"/>
      <c r="T47" s="789"/>
      <c r="U47" s="789"/>
      <c r="V47" s="789"/>
      <c r="W47" s="789"/>
      <c r="X47" s="786"/>
      <c r="Y47" s="786"/>
      <c r="Z47" s="787"/>
      <c r="AA47" s="787"/>
      <c r="AB47" s="787"/>
      <c r="AC47" s="787"/>
    </row>
    <row r="48" spans="4:29" x14ac:dyDescent="0.25">
      <c r="P48" s="789"/>
      <c r="Q48" s="789"/>
      <c r="R48" s="789"/>
      <c r="S48" s="789"/>
      <c r="T48" s="789"/>
      <c r="U48" s="789"/>
      <c r="V48" s="789"/>
      <c r="W48" s="789"/>
      <c r="X48" s="786"/>
      <c r="Y48" s="786"/>
      <c r="Z48" s="787"/>
      <c r="AA48" s="787"/>
      <c r="AB48" s="787"/>
      <c r="AC48" s="787"/>
    </row>
    <row r="49" spans="16:29" x14ac:dyDescent="0.25">
      <c r="P49" s="789"/>
      <c r="Q49" s="789"/>
      <c r="R49" s="789"/>
      <c r="S49" s="789"/>
      <c r="T49" s="789"/>
      <c r="U49" s="789"/>
      <c r="V49" s="789"/>
      <c r="W49" s="789"/>
      <c r="X49" s="786"/>
      <c r="Y49" s="786"/>
      <c r="Z49" s="787"/>
      <c r="AA49" s="787"/>
      <c r="AB49" s="787"/>
      <c r="AC49" s="787"/>
    </row>
    <row r="50" spans="16:29" x14ac:dyDescent="0.25">
      <c r="P50" s="789"/>
      <c r="Q50" s="789"/>
      <c r="R50" s="789"/>
      <c r="S50" s="789"/>
      <c r="T50" s="789"/>
      <c r="U50" s="789"/>
      <c r="V50" s="789"/>
      <c r="W50" s="789"/>
      <c r="X50" s="786"/>
      <c r="Y50" s="786"/>
      <c r="Z50" s="787"/>
      <c r="AA50" s="787"/>
      <c r="AB50" s="787"/>
      <c r="AC50" s="787"/>
    </row>
    <row r="51" spans="16:29" x14ac:dyDescent="0.25">
      <c r="P51" s="789"/>
      <c r="Q51" s="789"/>
      <c r="R51" s="789"/>
      <c r="S51" s="789"/>
      <c r="T51" s="789"/>
      <c r="U51" s="789"/>
      <c r="V51" s="789"/>
      <c r="W51" s="789"/>
      <c r="X51" s="786"/>
      <c r="Y51" s="786"/>
      <c r="Z51" s="787"/>
      <c r="AA51" s="787"/>
      <c r="AB51" s="787"/>
      <c r="AC51" s="787"/>
    </row>
    <row r="52" spans="16:29" x14ac:dyDescent="0.25">
      <c r="P52" s="789"/>
      <c r="Q52" s="789"/>
      <c r="R52" s="789"/>
      <c r="S52" s="789"/>
      <c r="T52" s="789"/>
      <c r="U52" s="789"/>
      <c r="V52" s="789"/>
      <c r="W52" s="789"/>
      <c r="X52" s="786"/>
      <c r="Y52" s="786"/>
      <c r="Z52" s="787"/>
      <c r="AA52" s="787"/>
      <c r="AB52" s="787"/>
      <c r="AC52" s="787"/>
    </row>
    <row r="53" spans="16:29" x14ac:dyDescent="0.25">
      <c r="P53" s="789"/>
      <c r="Q53" s="789"/>
      <c r="R53" s="789"/>
      <c r="S53" s="789"/>
      <c r="T53" s="789"/>
      <c r="U53" s="789"/>
      <c r="V53" s="789"/>
      <c r="W53" s="789"/>
      <c r="X53" s="786"/>
      <c r="Y53" s="786"/>
      <c r="Z53" s="787"/>
      <c r="AA53" s="787"/>
      <c r="AB53" s="787"/>
      <c r="AC53" s="787"/>
    </row>
    <row r="54" spans="16:29" x14ac:dyDescent="0.25">
      <c r="P54" s="789"/>
      <c r="Q54" s="789"/>
      <c r="R54" s="789"/>
      <c r="S54" s="789"/>
      <c r="T54" s="789"/>
      <c r="U54" s="789"/>
      <c r="V54" s="789"/>
      <c r="W54" s="789"/>
      <c r="X54" s="786"/>
      <c r="Y54" s="786"/>
      <c r="Z54" s="787"/>
      <c r="AA54" s="787"/>
      <c r="AB54" s="787"/>
      <c r="AC54" s="787"/>
    </row>
    <row r="55" spans="16:29" x14ac:dyDescent="0.25">
      <c r="P55" s="789"/>
      <c r="Q55" s="789"/>
      <c r="R55" s="789"/>
      <c r="S55" s="789"/>
      <c r="T55" s="789"/>
      <c r="U55" s="789"/>
      <c r="V55" s="789"/>
      <c r="W55" s="789"/>
      <c r="X55" s="786"/>
      <c r="Y55" s="786"/>
      <c r="Z55" s="787"/>
      <c r="AA55" s="787"/>
      <c r="AB55" s="787"/>
      <c r="AC55" s="787"/>
    </row>
    <row r="56" spans="16:29" x14ac:dyDescent="0.25">
      <c r="P56" s="789"/>
      <c r="Q56" s="789"/>
      <c r="R56" s="789"/>
      <c r="S56" s="789"/>
      <c r="T56" s="789"/>
      <c r="U56" s="789"/>
      <c r="V56" s="789"/>
      <c r="W56" s="789"/>
      <c r="X56" s="786"/>
      <c r="Y56" s="786"/>
      <c r="Z56" s="787"/>
      <c r="AA56" s="787"/>
      <c r="AB56" s="787"/>
      <c r="AC56" s="787"/>
    </row>
    <row r="57" spans="16:29" x14ac:dyDescent="0.25">
      <c r="P57" s="789"/>
      <c r="Q57" s="789"/>
      <c r="R57" s="789"/>
      <c r="S57" s="789"/>
      <c r="T57" s="789"/>
      <c r="U57" s="789"/>
      <c r="V57" s="789"/>
      <c r="W57" s="789"/>
      <c r="X57" s="786"/>
      <c r="Y57" s="786"/>
      <c r="Z57" s="787"/>
      <c r="AA57" s="787"/>
      <c r="AB57" s="787"/>
      <c r="AC57" s="787"/>
    </row>
    <row r="58" spans="16:29" x14ac:dyDescent="0.25">
      <c r="P58" s="789"/>
      <c r="Q58" s="789"/>
      <c r="R58" s="789"/>
      <c r="S58" s="789"/>
      <c r="T58" s="789"/>
      <c r="U58" s="789"/>
      <c r="V58" s="789"/>
      <c r="W58" s="789"/>
      <c r="X58" s="786"/>
      <c r="Y58" s="786"/>
      <c r="Z58" s="787"/>
      <c r="AA58" s="787"/>
      <c r="AB58" s="787"/>
      <c r="AC58" s="787"/>
    </row>
    <row r="59" spans="16:29" x14ac:dyDescent="0.25">
      <c r="P59" s="789"/>
      <c r="Q59" s="789"/>
      <c r="R59" s="789"/>
      <c r="S59" s="789"/>
      <c r="T59" s="789"/>
      <c r="U59" s="789"/>
      <c r="V59" s="789"/>
      <c r="W59" s="789"/>
      <c r="X59" s="786"/>
      <c r="Y59" s="786"/>
      <c r="Z59" s="787"/>
      <c r="AA59" s="787"/>
      <c r="AB59" s="787"/>
      <c r="AC59" s="787"/>
    </row>
    <row r="60" spans="16:29" x14ac:dyDescent="0.25">
      <c r="P60" s="789"/>
      <c r="Q60" s="789"/>
      <c r="R60" s="789"/>
      <c r="S60" s="789"/>
      <c r="T60" s="789"/>
      <c r="U60" s="789"/>
      <c r="V60" s="789"/>
      <c r="W60" s="789"/>
      <c r="X60" s="786"/>
      <c r="Y60" s="786"/>
      <c r="Z60" s="787"/>
      <c r="AA60" s="787"/>
      <c r="AB60" s="787"/>
      <c r="AC60" s="787"/>
    </row>
    <row r="61" spans="16:29" x14ac:dyDescent="0.25">
      <c r="P61" s="789"/>
      <c r="Q61" s="789"/>
      <c r="R61" s="789"/>
      <c r="S61" s="789"/>
      <c r="T61" s="789"/>
      <c r="U61" s="789"/>
      <c r="V61" s="789"/>
      <c r="W61" s="789"/>
      <c r="X61" s="786"/>
      <c r="Y61" s="786"/>
      <c r="Z61" s="787"/>
      <c r="AA61" s="787"/>
      <c r="AB61" s="787"/>
      <c r="AC61" s="787"/>
    </row>
    <row r="62" spans="16:29" x14ac:dyDescent="0.25">
      <c r="P62" s="789"/>
      <c r="Q62" s="789"/>
      <c r="R62" s="789"/>
      <c r="S62" s="789"/>
      <c r="T62" s="789"/>
      <c r="U62" s="789"/>
      <c r="V62" s="789"/>
      <c r="W62" s="789"/>
      <c r="X62" s="786"/>
      <c r="Y62" s="786"/>
      <c r="Z62" s="787"/>
      <c r="AA62" s="787"/>
      <c r="AB62" s="787"/>
      <c r="AC62" s="787"/>
    </row>
    <row r="63" spans="16:29" x14ac:dyDescent="0.25">
      <c r="P63" s="789"/>
      <c r="Q63" s="789"/>
      <c r="R63" s="789"/>
      <c r="S63" s="789"/>
      <c r="T63" s="789"/>
      <c r="U63" s="789"/>
      <c r="V63" s="789"/>
      <c r="W63" s="789"/>
      <c r="X63" s="786"/>
      <c r="Y63" s="786"/>
      <c r="Z63" s="787"/>
      <c r="AA63" s="787"/>
      <c r="AB63" s="787"/>
      <c r="AC63" s="787"/>
    </row>
    <row r="64" spans="16:29" x14ac:dyDescent="0.25">
      <c r="P64" s="5"/>
      <c r="Q64" s="786"/>
      <c r="R64" s="786"/>
      <c r="S64" s="786"/>
      <c r="T64" s="786"/>
      <c r="U64" s="786"/>
      <c r="V64" s="786"/>
      <c r="W64" s="786"/>
      <c r="X64" s="786"/>
      <c r="Y64" s="786"/>
      <c r="Z64" s="787"/>
      <c r="AA64" s="787"/>
      <c r="AB64" s="787"/>
      <c r="AC64" s="787"/>
    </row>
    <row r="65" spans="16:29" x14ac:dyDescent="0.25">
      <c r="P65" s="5"/>
      <c r="Q65" s="786"/>
      <c r="R65" s="786"/>
      <c r="S65" s="786"/>
      <c r="T65" s="786"/>
      <c r="U65" s="786"/>
      <c r="V65" s="786"/>
      <c r="W65" s="786"/>
      <c r="X65" s="786"/>
      <c r="Y65" s="786"/>
      <c r="Z65" s="787"/>
      <c r="AA65" s="787"/>
      <c r="AB65" s="787"/>
      <c r="AC65" s="787"/>
    </row>
    <row r="66" spans="16:29" x14ac:dyDescent="0.25">
      <c r="P66" s="5"/>
      <c r="Q66" s="786"/>
      <c r="R66" s="786"/>
      <c r="S66" s="786"/>
      <c r="T66" s="786"/>
      <c r="U66" s="786"/>
      <c r="V66" s="786"/>
      <c r="W66" s="786"/>
      <c r="X66" s="786"/>
      <c r="Y66" s="786"/>
      <c r="Z66" s="787"/>
      <c r="AA66" s="787"/>
      <c r="AB66" s="787"/>
      <c r="AC66" s="787"/>
    </row>
    <row r="67" spans="16:29" x14ac:dyDescent="0.25">
      <c r="P67" s="5"/>
      <c r="Q67" s="786"/>
      <c r="R67" s="786"/>
      <c r="S67" s="786"/>
      <c r="T67" s="786"/>
      <c r="U67" s="786"/>
      <c r="V67" s="786"/>
      <c r="W67" s="786"/>
      <c r="X67" s="786"/>
      <c r="Y67" s="786"/>
      <c r="Z67" s="787"/>
      <c r="AA67" s="787"/>
      <c r="AB67" s="787"/>
      <c r="AC67" s="787"/>
    </row>
    <row r="68" spans="16:29" x14ac:dyDescent="0.25">
      <c r="P68" s="5"/>
      <c r="Q68" s="786"/>
      <c r="R68" s="786"/>
      <c r="S68" s="786"/>
      <c r="T68" s="786"/>
      <c r="U68" s="786"/>
      <c r="V68" s="786"/>
      <c r="W68" s="786"/>
      <c r="X68" s="786"/>
      <c r="Y68" s="786"/>
      <c r="Z68" s="787"/>
      <c r="AA68" s="787"/>
      <c r="AB68" s="787"/>
      <c r="AC68" s="787"/>
    </row>
    <row r="69" spans="16:29" x14ac:dyDescent="0.25">
      <c r="P69" s="5"/>
      <c r="Q69" s="786"/>
      <c r="R69" s="786"/>
      <c r="S69" s="786"/>
      <c r="T69" s="786"/>
      <c r="U69" s="786"/>
      <c r="V69" s="786"/>
      <c r="W69" s="786"/>
      <c r="X69" s="786"/>
      <c r="Y69" s="786"/>
      <c r="Z69" s="787"/>
      <c r="AA69" s="787"/>
      <c r="AB69" s="787"/>
      <c r="AC69" s="787"/>
    </row>
    <row r="70" spans="16:29" x14ac:dyDescent="0.25">
      <c r="P70" s="5"/>
      <c r="Q70" s="786"/>
      <c r="R70" s="786"/>
      <c r="S70" s="786"/>
      <c r="T70" s="786"/>
      <c r="U70" s="786"/>
      <c r="V70" s="786"/>
      <c r="W70" s="786"/>
      <c r="X70" s="786"/>
      <c r="Y70" s="786"/>
      <c r="Z70" s="787"/>
      <c r="AA70" s="787"/>
      <c r="AB70" s="787"/>
      <c r="AC70" s="787"/>
    </row>
    <row r="71" spans="16:29" x14ac:dyDescent="0.25">
      <c r="P71" s="5"/>
      <c r="Q71" s="786"/>
      <c r="R71" s="786"/>
      <c r="S71" s="786"/>
      <c r="T71" s="786"/>
      <c r="U71" s="786"/>
      <c r="V71" s="786"/>
      <c r="W71" s="786"/>
      <c r="X71" s="786"/>
      <c r="Y71" s="786"/>
      <c r="Z71" s="787"/>
      <c r="AA71" s="787"/>
      <c r="AB71" s="787"/>
      <c r="AC71" s="787"/>
    </row>
    <row r="72" spans="16:29" x14ac:dyDescent="0.25">
      <c r="Q72" s="787"/>
      <c r="R72" s="787"/>
      <c r="S72" s="787"/>
      <c r="T72" s="787"/>
      <c r="U72" s="787"/>
      <c r="V72" s="787"/>
      <c r="W72" s="787"/>
      <c r="X72" s="787"/>
      <c r="Y72" s="787"/>
      <c r="Z72" s="787"/>
      <c r="AA72" s="787"/>
      <c r="AB72" s="787"/>
      <c r="AC72" s="787"/>
    </row>
    <row r="73" spans="16:29" x14ac:dyDescent="0.25">
      <c r="Q73" s="787"/>
      <c r="R73" s="787"/>
      <c r="S73" s="787"/>
      <c r="T73" s="787"/>
      <c r="U73" s="787"/>
      <c r="V73" s="787"/>
      <c r="W73" s="787"/>
      <c r="X73" s="787"/>
      <c r="Y73" s="787"/>
      <c r="Z73" s="787"/>
      <c r="AA73" s="787"/>
      <c r="AB73" s="787"/>
      <c r="AC73" s="787"/>
    </row>
    <row r="74" spans="16:29" x14ac:dyDescent="0.25">
      <c r="Q74" s="787"/>
      <c r="R74" s="787"/>
      <c r="S74" s="787"/>
      <c r="T74" s="787"/>
      <c r="U74" s="787"/>
      <c r="V74" s="787"/>
      <c r="W74" s="787"/>
      <c r="X74" s="787"/>
      <c r="Y74" s="787"/>
      <c r="Z74" s="787"/>
      <c r="AA74" s="787"/>
      <c r="AB74" s="787"/>
      <c r="AC74" s="787"/>
    </row>
    <row r="75" spans="16:29" x14ac:dyDescent="0.25">
      <c r="Q75" s="787"/>
      <c r="R75" s="787"/>
      <c r="S75" s="787"/>
      <c r="T75" s="787"/>
      <c r="U75" s="787"/>
      <c r="V75" s="787"/>
      <c r="W75" s="787"/>
      <c r="X75" s="787"/>
      <c r="Y75" s="787"/>
      <c r="Z75" s="787"/>
      <c r="AA75" s="787"/>
      <c r="AB75" s="787"/>
      <c r="AC75" s="787"/>
    </row>
    <row r="76" spans="16:29" x14ac:dyDescent="0.25">
      <c r="Q76" s="787"/>
      <c r="R76" s="787"/>
      <c r="S76" s="787"/>
      <c r="T76" s="787"/>
      <c r="U76" s="787"/>
      <c r="V76" s="787"/>
      <c r="W76" s="787"/>
      <c r="X76" s="787"/>
      <c r="Y76" s="787"/>
      <c r="Z76" s="787"/>
      <c r="AA76" s="787"/>
      <c r="AB76" s="787"/>
      <c r="AC76" s="787"/>
    </row>
    <row r="77" spans="16:29" x14ac:dyDescent="0.25">
      <c r="Q77" s="787"/>
      <c r="R77" s="787"/>
      <c r="S77" s="787"/>
      <c r="T77" s="787"/>
      <c r="U77" s="787"/>
      <c r="V77" s="787"/>
      <c r="W77" s="787"/>
      <c r="X77" s="787"/>
      <c r="Y77" s="787"/>
      <c r="Z77" s="787"/>
      <c r="AA77" s="787"/>
      <c r="AB77" s="787"/>
      <c r="AC77" s="787"/>
    </row>
    <row r="78" spans="16:29" x14ac:dyDescent="0.25">
      <c r="Q78" s="787"/>
      <c r="R78" s="787"/>
      <c r="S78" s="787"/>
      <c r="T78" s="787"/>
      <c r="U78" s="787"/>
      <c r="V78" s="787"/>
      <c r="W78" s="787"/>
      <c r="X78" s="787"/>
      <c r="Y78" s="787"/>
      <c r="Z78" s="787"/>
      <c r="AA78" s="787"/>
      <c r="AB78" s="787"/>
      <c r="AC78" s="787"/>
    </row>
    <row r="79" spans="16:29" x14ac:dyDescent="0.25">
      <c r="Q79" s="787"/>
      <c r="R79" s="787"/>
      <c r="S79" s="787"/>
      <c r="T79" s="787"/>
      <c r="U79" s="787"/>
      <c r="V79" s="787"/>
      <c r="W79" s="787"/>
      <c r="X79" s="787"/>
      <c r="Y79" s="787"/>
      <c r="Z79" s="787"/>
      <c r="AA79" s="787"/>
      <c r="AB79" s="787"/>
      <c r="AC79" s="787"/>
    </row>
    <row r="80" spans="16:29" x14ac:dyDescent="0.25">
      <c r="Q80" s="787"/>
      <c r="R80" s="787"/>
      <c r="S80" s="787"/>
      <c r="T80" s="787"/>
      <c r="U80" s="787"/>
      <c r="V80" s="787"/>
      <c r="W80" s="787"/>
      <c r="X80" s="787"/>
      <c r="Y80" s="787"/>
      <c r="Z80" s="787"/>
      <c r="AA80" s="787"/>
      <c r="AB80" s="787"/>
      <c r="AC80" s="787"/>
    </row>
    <row r="81" spans="17:29" x14ac:dyDescent="0.25">
      <c r="Q81" s="787"/>
      <c r="R81" s="787"/>
      <c r="S81" s="787"/>
      <c r="T81" s="787"/>
      <c r="U81" s="787"/>
      <c r="V81" s="787"/>
      <c r="W81" s="787"/>
      <c r="X81" s="787"/>
      <c r="Y81" s="787"/>
      <c r="Z81" s="787"/>
      <c r="AA81" s="787"/>
      <c r="AB81" s="787"/>
      <c r="AC81" s="787"/>
    </row>
    <row r="82" spans="17:29" x14ac:dyDescent="0.25">
      <c r="Q82" s="787"/>
      <c r="R82" s="787"/>
      <c r="S82" s="787"/>
      <c r="T82" s="787"/>
      <c r="U82" s="787"/>
      <c r="V82" s="787"/>
      <c r="W82" s="787"/>
      <c r="X82" s="787"/>
      <c r="Y82" s="787"/>
      <c r="Z82" s="787"/>
      <c r="AA82" s="787"/>
      <c r="AB82" s="787"/>
      <c r="AC82" s="787"/>
    </row>
    <row r="83" spans="17:29" x14ac:dyDescent="0.25">
      <c r="Q83" s="787"/>
      <c r="R83" s="787"/>
      <c r="S83" s="787"/>
      <c r="T83" s="787"/>
      <c r="U83" s="787"/>
      <c r="V83" s="787"/>
      <c r="W83" s="787"/>
      <c r="X83" s="787"/>
      <c r="Y83" s="787"/>
      <c r="Z83" s="787"/>
      <c r="AA83" s="787"/>
      <c r="AB83" s="787"/>
      <c r="AC83" s="787"/>
    </row>
    <row r="84" spans="17:29" x14ac:dyDescent="0.25">
      <c r="Q84" s="787"/>
      <c r="R84" s="787"/>
      <c r="S84" s="787"/>
      <c r="T84" s="787"/>
      <c r="U84" s="787"/>
      <c r="V84" s="787"/>
      <c r="W84" s="787"/>
      <c r="X84" s="787"/>
      <c r="Y84" s="787"/>
      <c r="Z84" s="787"/>
      <c r="AA84" s="787"/>
      <c r="AB84" s="787"/>
      <c r="AC84" s="787"/>
    </row>
    <row r="85" spans="17:29" x14ac:dyDescent="0.25">
      <c r="Q85" s="787"/>
      <c r="R85" s="787"/>
      <c r="S85" s="787"/>
      <c r="T85" s="787"/>
      <c r="U85" s="787"/>
      <c r="V85" s="787"/>
      <c r="W85" s="787"/>
      <c r="X85" s="787"/>
      <c r="Y85" s="787"/>
      <c r="Z85" s="787"/>
      <c r="AA85" s="787"/>
      <c r="AB85" s="787"/>
      <c r="AC85" s="787"/>
    </row>
    <row r="86" spans="17:29" x14ac:dyDescent="0.25">
      <c r="Q86" s="787"/>
      <c r="R86" s="787"/>
      <c r="S86" s="787"/>
      <c r="T86" s="787"/>
      <c r="U86" s="787"/>
      <c r="V86" s="787"/>
      <c r="W86" s="787"/>
      <c r="X86" s="787"/>
      <c r="Y86" s="787"/>
      <c r="Z86" s="787"/>
      <c r="AA86" s="787"/>
      <c r="AB86" s="787"/>
      <c r="AC86" s="787"/>
    </row>
    <row r="87" spans="17:29" x14ac:dyDescent="0.25">
      <c r="Q87" s="787"/>
      <c r="R87" s="787"/>
      <c r="S87" s="787"/>
      <c r="T87" s="787"/>
      <c r="U87" s="787"/>
      <c r="V87" s="787"/>
      <c r="W87" s="787"/>
      <c r="X87" s="787"/>
      <c r="Y87" s="787"/>
      <c r="Z87" s="787"/>
      <c r="AA87" s="787"/>
      <c r="AB87" s="787"/>
      <c r="AC87" s="787"/>
    </row>
    <row r="88" spans="17:29" x14ac:dyDescent="0.25">
      <c r="Q88" s="787"/>
      <c r="R88" s="787"/>
      <c r="S88" s="787"/>
      <c r="T88" s="787"/>
      <c r="U88" s="787"/>
      <c r="V88" s="787"/>
      <c r="W88" s="787"/>
      <c r="X88" s="787"/>
      <c r="Y88" s="787"/>
      <c r="Z88" s="787"/>
      <c r="AA88" s="787"/>
      <c r="AB88" s="787"/>
      <c r="AC88" s="787"/>
    </row>
    <row r="89" spans="17:29" x14ac:dyDescent="0.25">
      <c r="Q89" s="787"/>
      <c r="R89" s="787"/>
      <c r="S89" s="787"/>
      <c r="T89" s="787"/>
      <c r="U89" s="787"/>
      <c r="V89" s="787"/>
      <c r="W89" s="787"/>
      <c r="X89" s="787"/>
      <c r="Y89" s="787"/>
      <c r="Z89" s="787"/>
      <c r="AA89" s="787"/>
      <c r="AB89" s="787"/>
      <c r="AC89" s="787"/>
    </row>
    <row r="90" spans="17:29" x14ac:dyDescent="0.25">
      <c r="Q90" s="787"/>
      <c r="R90" s="787"/>
      <c r="S90" s="787"/>
      <c r="T90" s="787"/>
      <c r="U90" s="787"/>
      <c r="V90" s="787"/>
      <c r="W90" s="787"/>
      <c r="X90" s="787"/>
      <c r="Y90" s="787"/>
      <c r="Z90" s="787"/>
      <c r="AA90" s="787"/>
      <c r="AB90" s="787"/>
      <c r="AC90" s="787"/>
    </row>
    <row r="91" spans="17:29" x14ac:dyDescent="0.25">
      <c r="Q91" s="787"/>
      <c r="R91" s="787"/>
      <c r="S91" s="787"/>
      <c r="T91" s="787"/>
      <c r="U91" s="787"/>
      <c r="V91" s="787"/>
      <c r="W91" s="787"/>
      <c r="X91" s="787"/>
      <c r="Y91" s="787"/>
      <c r="Z91" s="787"/>
      <c r="AA91" s="787"/>
      <c r="AB91" s="787"/>
      <c r="AC91" s="787"/>
    </row>
    <row r="92" spans="17:29" x14ac:dyDescent="0.25">
      <c r="Q92" s="787"/>
      <c r="R92" s="787"/>
      <c r="S92" s="787"/>
      <c r="T92" s="787"/>
      <c r="U92" s="787"/>
      <c r="V92" s="787"/>
      <c r="W92" s="787"/>
      <c r="X92" s="787"/>
      <c r="Y92" s="787"/>
      <c r="Z92" s="787"/>
      <c r="AA92" s="787"/>
      <c r="AB92" s="787"/>
      <c r="AC92" s="787"/>
    </row>
    <row r="93" spans="17:29" x14ac:dyDescent="0.25">
      <c r="Q93" s="787"/>
      <c r="R93" s="787"/>
      <c r="S93" s="787"/>
      <c r="T93" s="787"/>
      <c r="U93" s="787"/>
      <c r="V93" s="787"/>
      <c r="W93" s="787"/>
      <c r="X93" s="787"/>
      <c r="Y93" s="787"/>
      <c r="Z93" s="787"/>
      <c r="AA93" s="787"/>
      <c r="AB93" s="787"/>
      <c r="AC93" s="787"/>
    </row>
    <row r="94" spans="17:29" x14ac:dyDescent="0.25">
      <c r="Q94" s="787"/>
      <c r="R94" s="787"/>
      <c r="S94" s="787"/>
      <c r="T94" s="787"/>
      <c r="U94" s="787"/>
      <c r="V94" s="787"/>
      <c r="W94" s="787"/>
      <c r="X94" s="787"/>
      <c r="Y94" s="787"/>
      <c r="Z94" s="787"/>
      <c r="AA94" s="787"/>
      <c r="AB94" s="787"/>
      <c r="AC94" s="787"/>
    </row>
    <row r="95" spans="17:29" x14ac:dyDescent="0.25">
      <c r="Q95" s="787"/>
      <c r="R95" s="787"/>
      <c r="S95" s="787"/>
      <c r="T95" s="787"/>
      <c r="U95" s="787"/>
      <c r="V95" s="787"/>
      <c r="W95" s="787"/>
      <c r="X95" s="787"/>
      <c r="Y95" s="787"/>
      <c r="Z95" s="787"/>
      <c r="AA95" s="787"/>
      <c r="AB95" s="787"/>
      <c r="AC95" s="787"/>
    </row>
  </sheetData>
  <sheetProtection sheet="1" objects="1" scenarios="1" formatCells="0" formatColumns="0" formatRows="0"/>
  <mergeCells count="1">
    <mergeCell ref="R4:R16"/>
  </mergeCells>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C000"/>
  </sheetPr>
  <dimension ref="A1:S478"/>
  <sheetViews>
    <sheetView showGridLines="0" zoomScale="80" zoomScaleNormal="80" workbookViewId="0"/>
  </sheetViews>
  <sheetFormatPr defaultColWidth="9.1796875" defaultRowHeight="13.95" customHeight="1" x14ac:dyDescent="0.25"/>
  <cols>
    <col min="1" max="2" width="1.6328125" style="143" customWidth="1"/>
    <col min="3" max="3" width="2.6328125" style="143" customWidth="1"/>
    <col min="4" max="4" width="19.453125" style="143" customWidth="1"/>
    <col min="5" max="5" width="13.90625" style="307" customWidth="1"/>
    <col min="6" max="6" width="2.6328125" style="143" customWidth="1"/>
    <col min="7" max="7" width="16.1796875" style="143" customWidth="1"/>
    <col min="8" max="8" width="9.453125" style="143" customWidth="1"/>
    <col min="9" max="9" width="9.54296875" style="143" customWidth="1"/>
    <col min="10" max="10" width="12.7265625" style="143" customWidth="1"/>
    <col min="11" max="11" width="12.81640625" style="143" customWidth="1"/>
    <col min="12" max="12" width="12.1796875" style="143" customWidth="1"/>
    <col min="13" max="14" width="1.6328125" style="143" customWidth="1"/>
    <col min="15" max="15" width="1.6328125" style="307" customWidth="1"/>
    <col min="16" max="17" width="9.1796875" style="250"/>
    <col min="18" max="18" width="80.6328125" style="250" customWidth="1"/>
    <col min="19" max="16384" width="9.1796875" style="250"/>
  </cols>
  <sheetData>
    <row r="1" spans="1:19" s="143" customFormat="1" ht="13.95" customHeight="1" x14ac:dyDescent="0.25">
      <c r="A1" s="138"/>
      <c r="B1" s="138"/>
      <c r="C1" s="138"/>
      <c r="D1" s="138"/>
      <c r="E1" s="140"/>
      <c r="F1" s="138"/>
      <c r="G1" s="138"/>
      <c r="H1" s="138"/>
      <c r="I1" s="138"/>
      <c r="J1" s="138"/>
      <c r="K1" s="138"/>
      <c r="L1" s="138"/>
      <c r="M1" s="138"/>
      <c r="N1" s="138"/>
      <c r="O1" s="278"/>
      <c r="Q1" s="838"/>
      <c r="R1" s="838"/>
      <c r="S1" s="839"/>
    </row>
    <row r="2" spans="1:19" s="261" customFormat="1" ht="18" customHeight="1" x14ac:dyDescent="0.25">
      <c r="A2" s="256"/>
      <c r="B2" s="145"/>
      <c r="C2" s="147"/>
      <c r="D2" s="147"/>
      <c r="E2" s="473"/>
      <c r="F2" s="147"/>
      <c r="G2" s="147"/>
      <c r="H2" s="147"/>
      <c r="I2" s="147"/>
      <c r="J2" s="147"/>
      <c r="K2" s="147"/>
      <c r="L2" s="147"/>
      <c r="M2" s="147"/>
      <c r="N2" s="371"/>
      <c r="O2" s="278"/>
      <c r="Q2" s="838"/>
      <c r="R2" s="911" t="s">
        <v>2307</v>
      </c>
      <c r="S2" s="839"/>
    </row>
    <row r="3" spans="1:19" s="143" customFormat="1" ht="18" customHeight="1" x14ac:dyDescent="0.25">
      <c r="A3" s="138"/>
      <c r="B3" s="160"/>
      <c r="C3" s="264"/>
      <c r="D3" s="264"/>
      <c r="E3" s="444"/>
      <c r="F3" s="264"/>
      <c r="G3" s="264"/>
      <c r="H3" s="264"/>
      <c r="I3" s="264"/>
      <c r="J3" s="264"/>
      <c r="K3" s="264"/>
      <c r="L3" s="264"/>
      <c r="M3" s="264"/>
      <c r="N3" s="277"/>
      <c r="O3" s="278"/>
      <c r="Q3" s="838"/>
      <c r="R3" s="912"/>
      <c r="S3" s="839"/>
    </row>
    <row r="4" spans="1:19" s="143" customFormat="1" ht="30" customHeight="1" x14ac:dyDescent="0.25">
      <c r="A4" s="138"/>
      <c r="B4" s="160"/>
      <c r="C4" s="264"/>
      <c r="D4" s="575" t="str">
        <f>IF(VLOOKUP("KM81",Languages!$A:$D,1,TRUE)="KM81",VLOOKUP("KM81",Languages!$A:$D,Summary!$C$7,TRUE),NA())</f>
        <v>Arviointitulosten vienti</v>
      </c>
      <c r="E4" s="444"/>
      <c r="F4" s="264"/>
      <c r="G4" s="264"/>
      <c r="H4" s="264"/>
      <c r="I4" s="264"/>
      <c r="J4" s="264"/>
      <c r="K4" s="264"/>
      <c r="L4" s="264"/>
      <c r="M4" s="264"/>
      <c r="N4" s="277"/>
      <c r="O4" s="278"/>
      <c r="Q4" s="838"/>
      <c r="R4" s="1295" t="s">
        <v>3107</v>
      </c>
      <c r="S4" s="839"/>
    </row>
    <row r="5" spans="1:19" s="143" customFormat="1" ht="13.95" customHeight="1" x14ac:dyDescent="0.25">
      <c r="A5" s="138"/>
      <c r="B5" s="160"/>
      <c r="C5" s="264"/>
      <c r="D5" s="264"/>
      <c r="E5" s="444"/>
      <c r="F5" s="264"/>
      <c r="G5" s="264"/>
      <c r="H5" s="264"/>
      <c r="I5" s="264"/>
      <c r="J5" s="264"/>
      <c r="K5" s="264"/>
      <c r="L5" s="264"/>
      <c r="M5" s="264"/>
      <c r="N5" s="277"/>
      <c r="O5" s="278"/>
      <c r="Q5" s="838"/>
      <c r="R5" s="1295"/>
      <c r="S5" s="839"/>
    </row>
    <row r="6" spans="1:19" s="377" customFormat="1" ht="13.95" customHeight="1" x14ac:dyDescent="0.25">
      <c r="A6" s="138"/>
      <c r="B6" s="373"/>
      <c r="C6" s="374"/>
      <c r="D6" s="576" t="str">
        <f>IF(VLOOKUP("KM53",Languages!$A:$D,1,TRUE)="KM53",VLOOKUP("KM53",Languages!$A:$D,Summary!$C$7,TRUE),NA())</f>
        <v>Arviointitulosten vienti</v>
      </c>
      <c r="E6" s="305"/>
      <c r="F6" s="374"/>
      <c r="G6" s="576" t="str">
        <f>IF(VLOOKUP("KM53",Languages!$A:$D,1,TRUE)="KM53",VLOOKUP("KM53",Languages!$A:$D,Summary!$C$7,TRUE),NA())</f>
        <v>Arviointitulosten vienti</v>
      </c>
      <c r="H6" s="576"/>
      <c r="I6" s="378"/>
      <c r="J6" s="378"/>
      <c r="K6" s="378"/>
      <c r="L6" s="378"/>
      <c r="M6" s="374"/>
      <c r="N6" s="376"/>
      <c r="O6" s="319"/>
      <c r="Q6" s="838"/>
      <c r="R6" s="1295"/>
      <c r="S6" s="838"/>
    </row>
    <row r="7" spans="1:19" s="143" customFormat="1" ht="70.2" customHeight="1" x14ac:dyDescent="0.25">
      <c r="A7" s="138"/>
      <c r="B7" s="160"/>
      <c r="C7" s="264"/>
      <c r="D7" s="1297"/>
      <c r="E7" s="1297"/>
      <c r="F7" s="264"/>
      <c r="G7" s="957"/>
      <c r="H7" s="957"/>
      <c r="I7" s="957"/>
      <c r="J7" s="957"/>
      <c r="K7" s="957"/>
      <c r="L7" s="957"/>
      <c r="M7" s="264"/>
      <c r="N7" s="277"/>
      <c r="O7" s="278"/>
      <c r="Q7" s="838"/>
      <c r="R7" s="1295"/>
      <c r="S7" s="838"/>
    </row>
    <row r="8" spans="1:19" s="143" customFormat="1" ht="13.95" customHeight="1" x14ac:dyDescent="0.25">
      <c r="A8" s="138"/>
      <c r="B8" s="160"/>
      <c r="C8" s="264"/>
      <c r="D8" s="264"/>
      <c r="E8" s="444"/>
      <c r="F8" s="264"/>
      <c r="G8" s="378"/>
      <c r="H8" s="378"/>
      <c r="I8" s="378"/>
      <c r="J8" s="378"/>
      <c r="K8" s="378"/>
      <c r="L8" s="378"/>
      <c r="M8" s="264"/>
      <c r="N8" s="277"/>
      <c r="O8" s="319"/>
      <c r="Q8" s="838"/>
      <c r="R8" s="1295"/>
      <c r="S8" s="838"/>
    </row>
    <row r="9" spans="1:19" ht="13.95" customHeight="1" x14ac:dyDescent="0.25">
      <c r="A9" s="169"/>
      <c r="B9" s="273"/>
      <c r="C9" s="378"/>
      <c r="D9" s="1135" t="s">
        <v>31</v>
      </c>
      <c r="E9" s="1136" t="s">
        <v>667</v>
      </c>
      <c r="F9" s="378"/>
      <c r="G9" s="1135" t="s">
        <v>31</v>
      </c>
      <c r="H9" s="1135" t="s">
        <v>667</v>
      </c>
      <c r="I9" s="1137" t="s">
        <v>459</v>
      </c>
      <c r="J9" s="1137" t="s">
        <v>1745</v>
      </c>
      <c r="K9" s="1137" t="s">
        <v>1746</v>
      </c>
      <c r="L9" s="1137" t="s">
        <v>1747</v>
      </c>
      <c r="M9" s="264"/>
      <c r="N9" s="277"/>
      <c r="O9" s="278"/>
      <c r="Q9" s="838"/>
      <c r="R9" s="1295"/>
      <c r="S9" s="838"/>
    </row>
    <row r="10" spans="1:19" ht="13.95" customHeight="1" x14ac:dyDescent="0.25">
      <c r="A10" s="169"/>
      <c r="B10" s="273"/>
      <c r="C10" s="378"/>
      <c r="D10" s="920" t="s">
        <v>701</v>
      </c>
      <c r="E10" s="945">
        <f>Summary!$H$4</f>
        <v>0</v>
      </c>
      <c r="F10" s="378"/>
      <c r="G10" s="920" t="s">
        <v>701</v>
      </c>
      <c r="H10" s="945">
        <f>Summary!$H$4</f>
        <v>0</v>
      </c>
      <c r="I10" s="924" t="s">
        <v>1744</v>
      </c>
      <c r="J10" s="924" t="s">
        <v>1744</v>
      </c>
      <c r="K10" s="924" t="s">
        <v>1744</v>
      </c>
      <c r="L10" s="924" t="s">
        <v>1744</v>
      </c>
      <c r="M10" s="264"/>
      <c r="N10" s="277"/>
      <c r="O10" s="278"/>
      <c r="Q10" s="838"/>
      <c r="R10" s="1295"/>
      <c r="S10" s="838"/>
    </row>
    <row r="11" spans="1:19" ht="13.95" customHeight="1" x14ac:dyDescent="0.25">
      <c r="A11" s="169"/>
      <c r="B11" s="361"/>
      <c r="C11" s="379"/>
      <c r="D11" s="920" t="s">
        <v>698</v>
      </c>
      <c r="E11" s="946">
        <f>Summary!$E11</f>
        <v>0</v>
      </c>
      <c r="F11" s="379"/>
      <c r="G11" s="920" t="s">
        <v>698</v>
      </c>
      <c r="H11" s="946">
        <f>Summary!$E11</f>
        <v>0</v>
      </c>
      <c r="I11" s="924" t="s">
        <v>1744</v>
      </c>
      <c r="J11" s="924" t="s">
        <v>1744</v>
      </c>
      <c r="K11" s="924" t="s">
        <v>1744</v>
      </c>
      <c r="L11" s="924" t="s">
        <v>1744</v>
      </c>
      <c r="M11" s="264"/>
      <c r="N11" s="277"/>
      <c r="O11" s="278"/>
      <c r="Q11" s="838"/>
      <c r="R11" s="1295"/>
      <c r="S11" s="838"/>
    </row>
    <row r="12" spans="1:19" ht="13.95" customHeight="1" x14ac:dyDescent="0.25">
      <c r="A12" s="169"/>
      <c r="B12" s="361"/>
      <c r="C12" s="379"/>
      <c r="D12" s="920" t="s">
        <v>3034</v>
      </c>
      <c r="E12" s="946">
        <f>Summary!$I11</f>
        <v>0</v>
      </c>
      <c r="F12" s="379"/>
      <c r="G12" s="920" t="s">
        <v>3034</v>
      </c>
      <c r="H12" s="946">
        <f>Summary!$I11</f>
        <v>0</v>
      </c>
      <c r="I12" s="923" t="s">
        <v>1744</v>
      </c>
      <c r="J12" s="923" t="s">
        <v>1744</v>
      </c>
      <c r="K12" s="923" t="s">
        <v>1744</v>
      </c>
      <c r="L12" s="923" t="s">
        <v>1744</v>
      </c>
      <c r="M12" s="264"/>
      <c r="N12" s="277"/>
      <c r="O12" s="278"/>
      <c r="Q12" s="838"/>
      <c r="R12" s="1295"/>
      <c r="S12" s="838"/>
    </row>
    <row r="13" spans="1:19" ht="13.95" customHeight="1" x14ac:dyDescent="0.25">
      <c r="A13" s="169"/>
      <c r="B13" s="273"/>
      <c r="C13" s="378"/>
      <c r="D13" s="920" t="s">
        <v>699</v>
      </c>
      <c r="E13" s="946">
        <f>Summary!$E12</f>
        <v>0</v>
      </c>
      <c r="F13" s="378"/>
      <c r="G13" s="920" t="s">
        <v>699</v>
      </c>
      <c r="H13" s="946">
        <f>Summary!$E12</f>
        <v>0</v>
      </c>
      <c r="I13" s="924" t="s">
        <v>1744</v>
      </c>
      <c r="J13" s="924" t="s">
        <v>1744</v>
      </c>
      <c r="K13" s="924" t="s">
        <v>1744</v>
      </c>
      <c r="L13" s="924" t="s">
        <v>1744</v>
      </c>
      <c r="M13" s="264"/>
      <c r="N13" s="277"/>
      <c r="O13" s="278"/>
      <c r="Q13" s="838"/>
      <c r="R13" s="1295"/>
      <c r="S13" s="838"/>
    </row>
    <row r="14" spans="1:19" ht="13.95" customHeight="1" x14ac:dyDescent="0.25">
      <c r="A14" s="169"/>
      <c r="B14" s="273"/>
      <c r="C14" s="378"/>
      <c r="D14" s="920" t="s">
        <v>700</v>
      </c>
      <c r="E14" s="946">
        <f>Summary!$E13</f>
        <v>0</v>
      </c>
      <c r="F14" s="378"/>
      <c r="G14" s="920" t="s">
        <v>700</v>
      </c>
      <c r="H14" s="946">
        <f>Summary!$E13</f>
        <v>0</v>
      </c>
      <c r="I14" s="924" t="s">
        <v>1744</v>
      </c>
      <c r="J14" s="924" t="s">
        <v>1744</v>
      </c>
      <c r="K14" s="924" t="s">
        <v>1744</v>
      </c>
      <c r="L14" s="924" t="s">
        <v>1744</v>
      </c>
      <c r="M14" s="264"/>
      <c r="N14" s="277"/>
      <c r="O14" s="278"/>
      <c r="Q14" s="838"/>
      <c r="R14" s="1295"/>
      <c r="S14" s="838"/>
    </row>
    <row r="15" spans="1:19" ht="13.95" customHeight="1" x14ac:dyDescent="0.25">
      <c r="A15" s="169"/>
      <c r="B15" s="273"/>
      <c r="C15" s="378"/>
      <c r="D15" s="920" t="s">
        <v>2275</v>
      </c>
      <c r="E15" s="946" t="str">
        <f>Summary!$E3</f>
        <v>2.0</v>
      </c>
      <c r="F15" s="378"/>
      <c r="G15" s="920" t="s">
        <v>2275</v>
      </c>
      <c r="H15" s="946" t="str">
        <f>Summary!$E3</f>
        <v>2.0</v>
      </c>
      <c r="I15" s="923" t="s">
        <v>1744</v>
      </c>
      <c r="J15" s="923" t="s">
        <v>1744</v>
      </c>
      <c r="K15" s="923" t="s">
        <v>1744</v>
      </c>
      <c r="L15" s="923" t="s">
        <v>1744</v>
      </c>
      <c r="M15" s="264"/>
      <c r="N15" s="277"/>
      <c r="O15" s="278"/>
      <c r="Q15" s="838"/>
      <c r="R15" s="1295"/>
      <c r="S15" s="838"/>
    </row>
    <row r="16" spans="1:19" ht="13.95" customHeight="1" x14ac:dyDescent="0.25">
      <c r="A16" s="169"/>
      <c r="B16" s="273"/>
      <c r="C16" s="378"/>
      <c r="D16" s="920" t="s">
        <v>2276</v>
      </c>
      <c r="E16" s="1147">
        <f>Summary!$E15</f>
        <v>0</v>
      </c>
      <c r="F16" s="378"/>
      <c r="G16" s="920" t="s">
        <v>2276</v>
      </c>
      <c r="H16" s="1147">
        <f>Summary!$E15</f>
        <v>0</v>
      </c>
      <c r="I16" s="923" t="s">
        <v>1744</v>
      </c>
      <c r="J16" s="923" t="s">
        <v>1744</v>
      </c>
      <c r="K16" s="923" t="s">
        <v>1744</v>
      </c>
      <c r="L16" s="923" t="s">
        <v>1744</v>
      </c>
      <c r="M16" s="264"/>
      <c r="N16" s="277"/>
      <c r="O16" s="278"/>
      <c r="Q16" s="838"/>
      <c r="R16" s="1296"/>
      <c r="S16" s="838"/>
    </row>
    <row r="17" spans="1:19" ht="13.95" customHeight="1" x14ac:dyDescent="0.25">
      <c r="A17" s="169"/>
      <c r="B17" s="273"/>
      <c r="C17" s="378"/>
      <c r="D17" s="918" t="s">
        <v>2270</v>
      </c>
      <c r="E17" s="947">
        <f ca="1">NISTmap!$J$7</f>
        <v>0</v>
      </c>
      <c r="F17" s="378"/>
      <c r="G17" s="918" t="s">
        <v>2270</v>
      </c>
      <c r="H17" s="947">
        <f ca="1">NISTmap!$J$7</f>
        <v>0</v>
      </c>
      <c r="I17" s="926" t="s">
        <v>1744</v>
      </c>
      <c r="J17" s="926" t="s">
        <v>1744</v>
      </c>
      <c r="K17" s="926" t="s">
        <v>1744</v>
      </c>
      <c r="L17" s="926" t="s">
        <v>1744</v>
      </c>
      <c r="M17" s="264"/>
      <c r="N17" s="277"/>
      <c r="O17" s="278"/>
      <c r="Q17" s="838"/>
      <c r="R17" s="838"/>
      <c r="S17" s="838"/>
    </row>
    <row r="18" spans="1:19" ht="13.95" customHeight="1" x14ac:dyDescent="0.25">
      <c r="A18" s="169"/>
      <c r="B18" s="273"/>
      <c r="C18" s="378"/>
      <c r="D18" s="918" t="s">
        <v>2271</v>
      </c>
      <c r="E18" s="947">
        <f ca="1">NISTmap!$K$7</f>
        <v>0</v>
      </c>
      <c r="F18" s="378"/>
      <c r="G18" s="918" t="s">
        <v>2271</v>
      </c>
      <c r="H18" s="947">
        <f ca="1">NISTmap!$K$7</f>
        <v>0</v>
      </c>
      <c r="I18" s="926" t="s">
        <v>1744</v>
      </c>
      <c r="J18" s="926" t="s">
        <v>1744</v>
      </c>
      <c r="K18" s="926" t="s">
        <v>1744</v>
      </c>
      <c r="L18" s="926" t="s">
        <v>1744</v>
      </c>
      <c r="M18" s="264"/>
      <c r="N18" s="277"/>
      <c r="O18" s="278"/>
    </row>
    <row r="19" spans="1:19" ht="13.95" customHeight="1" x14ac:dyDescent="0.25">
      <c r="A19" s="169"/>
      <c r="B19" s="273"/>
      <c r="C19" s="378"/>
      <c r="D19" s="918" t="s">
        <v>2274</v>
      </c>
      <c r="E19" s="947">
        <f ca="1">NISTmap!$L$7</f>
        <v>0</v>
      </c>
      <c r="F19" s="378"/>
      <c r="G19" s="918" t="s">
        <v>2274</v>
      </c>
      <c r="H19" s="947">
        <f ca="1">NISTmap!$L$7</f>
        <v>0</v>
      </c>
      <c r="I19" s="926" t="s">
        <v>1744</v>
      </c>
      <c r="J19" s="926" t="s">
        <v>1744</v>
      </c>
      <c r="K19" s="926" t="s">
        <v>1744</v>
      </c>
      <c r="L19" s="926" t="s">
        <v>1744</v>
      </c>
      <c r="M19" s="264"/>
      <c r="N19" s="277"/>
      <c r="O19" s="278"/>
    </row>
    <row r="20" spans="1:19" ht="13.95" customHeight="1" x14ac:dyDescent="0.25">
      <c r="A20" s="169"/>
      <c r="B20" s="273"/>
      <c r="C20" s="378"/>
      <c r="D20" s="918" t="s">
        <v>2273</v>
      </c>
      <c r="E20" s="947">
        <f ca="1">NISTmap!$M$7</f>
        <v>0</v>
      </c>
      <c r="F20" s="378"/>
      <c r="G20" s="918" t="s">
        <v>2273</v>
      </c>
      <c r="H20" s="947">
        <f ca="1">NISTmap!$M$7</f>
        <v>0</v>
      </c>
      <c r="I20" s="926" t="s">
        <v>1744</v>
      </c>
      <c r="J20" s="926" t="s">
        <v>1744</v>
      </c>
      <c r="K20" s="926" t="s">
        <v>1744</v>
      </c>
      <c r="L20" s="926" t="s">
        <v>1744</v>
      </c>
      <c r="M20" s="264"/>
      <c r="N20" s="277"/>
      <c r="O20" s="278"/>
    </row>
    <row r="21" spans="1:19" ht="13.95" customHeight="1" x14ac:dyDescent="0.25">
      <c r="A21" s="169"/>
      <c r="B21" s="273"/>
      <c r="C21" s="378"/>
      <c r="D21" s="918" t="s">
        <v>2272</v>
      </c>
      <c r="E21" s="947">
        <f ca="1">NISTmap!$N$7</f>
        <v>0</v>
      </c>
      <c r="F21" s="378"/>
      <c r="G21" s="918" t="s">
        <v>2272</v>
      </c>
      <c r="H21" s="947">
        <f ca="1">NISTmap!$N$7</f>
        <v>0</v>
      </c>
      <c r="I21" s="926" t="s">
        <v>1744</v>
      </c>
      <c r="J21" s="926" t="s">
        <v>1744</v>
      </c>
      <c r="K21" s="926" t="s">
        <v>1744</v>
      </c>
      <c r="L21" s="926" t="s">
        <v>1744</v>
      </c>
      <c r="M21" s="264"/>
      <c r="N21" s="277"/>
      <c r="O21" s="278"/>
    </row>
    <row r="22" spans="1:19" ht="13.95" customHeight="1" x14ac:dyDescent="0.25">
      <c r="A22" s="169"/>
      <c r="B22" s="273"/>
      <c r="C22" s="378"/>
      <c r="D22" s="918" t="s">
        <v>61</v>
      </c>
      <c r="E22" s="948">
        <f ca="1">VLOOKUP($G22,Data!$K$2:$O$58,5,FALSE)</f>
        <v>0</v>
      </c>
      <c r="F22" s="378"/>
      <c r="G22" s="918" t="s">
        <v>61</v>
      </c>
      <c r="H22" s="948">
        <f ca="1">VLOOKUP($G22,Data!$K$2:$O$58,5,FALSE)</f>
        <v>0</v>
      </c>
      <c r="I22" s="925" t="s">
        <v>1744</v>
      </c>
      <c r="J22" s="925" t="s">
        <v>1744</v>
      </c>
      <c r="K22" s="925" t="s">
        <v>1744</v>
      </c>
      <c r="L22" s="925" t="s">
        <v>1744</v>
      </c>
      <c r="M22" s="264"/>
      <c r="N22" s="277"/>
      <c r="O22" s="278"/>
    </row>
    <row r="23" spans="1:19" ht="13.95" customHeight="1" x14ac:dyDescent="0.25">
      <c r="A23" s="169"/>
      <c r="B23" s="273"/>
      <c r="C23" s="378"/>
      <c r="D23" s="918" t="s">
        <v>63</v>
      </c>
      <c r="E23" s="948">
        <f ca="1">VLOOKUP($G23,Data!$K$2:$O$58,5,FALSE)</f>
        <v>0</v>
      </c>
      <c r="F23" s="378"/>
      <c r="G23" s="918" t="s">
        <v>63</v>
      </c>
      <c r="H23" s="948">
        <f ca="1">VLOOKUP($G23,Data!$K$2:$O$58,5,FALSE)</f>
        <v>0</v>
      </c>
      <c r="I23" s="925" t="s">
        <v>1744</v>
      </c>
      <c r="J23" s="925" t="s">
        <v>1744</v>
      </c>
      <c r="K23" s="925" t="s">
        <v>1744</v>
      </c>
      <c r="L23" s="925" t="s">
        <v>1744</v>
      </c>
      <c r="M23" s="264"/>
      <c r="N23" s="277"/>
      <c r="O23" s="278"/>
    </row>
    <row r="24" spans="1:19" ht="13.95" customHeight="1" x14ac:dyDescent="0.25">
      <c r="A24" s="169"/>
      <c r="B24" s="273"/>
      <c r="C24" s="378"/>
      <c r="D24" s="918" t="s">
        <v>65</v>
      </c>
      <c r="E24" s="948">
        <f ca="1">VLOOKUP($G24,Data!$K$2:$O$58,5,FALSE)</f>
        <v>0</v>
      </c>
      <c r="F24" s="378"/>
      <c r="G24" s="918" t="s">
        <v>65</v>
      </c>
      <c r="H24" s="948">
        <f ca="1">VLOOKUP($G24,Data!$K$2:$O$58,5,FALSE)</f>
        <v>0</v>
      </c>
      <c r="I24" s="925" t="s">
        <v>1744</v>
      </c>
      <c r="J24" s="925" t="s">
        <v>1744</v>
      </c>
      <c r="K24" s="925" t="s">
        <v>1744</v>
      </c>
      <c r="L24" s="925" t="s">
        <v>1744</v>
      </c>
      <c r="M24" s="264"/>
      <c r="N24" s="277"/>
      <c r="O24" s="278"/>
    </row>
    <row r="25" spans="1:19" ht="13.95" customHeight="1" x14ac:dyDescent="0.25">
      <c r="A25" s="169"/>
      <c r="B25" s="273"/>
      <c r="C25" s="378"/>
      <c r="D25" s="918" t="s">
        <v>68</v>
      </c>
      <c r="E25" s="948">
        <f ca="1">VLOOKUP($G25,Data!$K$2:$O$58,5,FALSE)</f>
        <v>0</v>
      </c>
      <c r="F25" s="378"/>
      <c r="G25" s="918" t="s">
        <v>68</v>
      </c>
      <c r="H25" s="948">
        <f ca="1">VLOOKUP($G25,Data!$K$2:$O$58,5,FALSE)</f>
        <v>0</v>
      </c>
      <c r="I25" s="925" t="s">
        <v>1744</v>
      </c>
      <c r="J25" s="925" t="s">
        <v>1744</v>
      </c>
      <c r="K25" s="925" t="s">
        <v>1744</v>
      </c>
      <c r="L25" s="925" t="s">
        <v>1744</v>
      </c>
      <c r="M25" s="264"/>
      <c r="N25" s="277"/>
      <c r="O25" s="278"/>
    </row>
    <row r="26" spans="1:19" ht="13.95" customHeight="1" x14ac:dyDescent="0.25">
      <c r="A26" s="169"/>
      <c r="B26" s="273"/>
      <c r="C26" s="378"/>
      <c r="D26" s="918" t="s">
        <v>1103</v>
      </c>
      <c r="E26" s="948">
        <f ca="1">VLOOKUP($G26,Data!$K$2:$O$58,5,FALSE)</f>
        <v>1</v>
      </c>
      <c r="F26" s="378"/>
      <c r="G26" s="918" t="s">
        <v>1103</v>
      </c>
      <c r="H26" s="948">
        <f ca="1">VLOOKUP($G26,Data!$K$2:$O$58,5,FALSE)</f>
        <v>1</v>
      </c>
      <c r="I26" s="925" t="s">
        <v>1744</v>
      </c>
      <c r="J26" s="925" t="s">
        <v>1744</v>
      </c>
      <c r="K26" s="925" t="s">
        <v>1744</v>
      </c>
      <c r="L26" s="925" t="s">
        <v>1744</v>
      </c>
      <c r="M26" s="264"/>
      <c r="N26" s="277"/>
      <c r="O26" s="278"/>
    </row>
    <row r="27" spans="1:19" ht="13.95" customHeight="1" x14ac:dyDescent="0.25">
      <c r="A27" s="169"/>
      <c r="B27" s="273"/>
      <c r="C27" s="378"/>
      <c r="D27" s="918" t="s">
        <v>80</v>
      </c>
      <c r="E27" s="948">
        <f ca="1">VLOOKUP($G27,Data!$K$2:$O$58,5,FALSE)</f>
        <v>0</v>
      </c>
      <c r="F27" s="378"/>
      <c r="G27" s="918" t="s">
        <v>80</v>
      </c>
      <c r="H27" s="948">
        <f ca="1">VLOOKUP($G27,Data!$K$2:$O$58,5,FALSE)</f>
        <v>0</v>
      </c>
      <c r="I27" s="925" t="s">
        <v>1744</v>
      </c>
      <c r="J27" s="925" t="s">
        <v>1744</v>
      </c>
      <c r="K27" s="925" t="s">
        <v>1744</v>
      </c>
      <c r="L27" s="925" t="s">
        <v>1744</v>
      </c>
      <c r="M27" s="264"/>
      <c r="N27" s="277"/>
      <c r="O27" s="278"/>
    </row>
    <row r="28" spans="1:19" ht="13.95" customHeight="1" x14ac:dyDescent="0.25">
      <c r="A28" s="169"/>
      <c r="B28" s="273"/>
      <c r="C28" s="378"/>
      <c r="D28" s="918" t="s">
        <v>121</v>
      </c>
      <c r="E28" s="948">
        <f ca="1">VLOOKUP($G28,Data!$K$2:$O$58,5,FALSE)</f>
        <v>0</v>
      </c>
      <c r="F28" s="378"/>
      <c r="G28" s="918" t="s">
        <v>121</v>
      </c>
      <c r="H28" s="948">
        <f ca="1">VLOOKUP($G28,Data!$K$2:$O$58,5,FALSE)</f>
        <v>0</v>
      </c>
      <c r="I28" s="925" t="s">
        <v>1744</v>
      </c>
      <c r="J28" s="925" t="s">
        <v>1744</v>
      </c>
      <c r="K28" s="925" t="s">
        <v>1744</v>
      </c>
      <c r="L28" s="925" t="s">
        <v>1744</v>
      </c>
      <c r="M28" s="264"/>
      <c r="N28" s="277"/>
      <c r="O28" s="278"/>
    </row>
    <row r="29" spans="1:19" ht="13.95" customHeight="1" x14ac:dyDescent="0.25">
      <c r="A29" s="169"/>
      <c r="B29" s="273"/>
      <c r="C29" s="378"/>
      <c r="D29" s="918" t="s">
        <v>124</v>
      </c>
      <c r="E29" s="948">
        <f ca="1">VLOOKUP($G29,Data!$K$2:$O$58,5,FALSE)</f>
        <v>0</v>
      </c>
      <c r="F29" s="378"/>
      <c r="G29" s="918" t="s">
        <v>124</v>
      </c>
      <c r="H29" s="948">
        <f ca="1">VLOOKUP($G29,Data!$K$2:$O$58,5,FALSE)</f>
        <v>0</v>
      </c>
      <c r="I29" s="925" t="s">
        <v>1744</v>
      </c>
      <c r="J29" s="925" t="s">
        <v>1744</v>
      </c>
      <c r="K29" s="925" t="s">
        <v>1744</v>
      </c>
      <c r="L29" s="925" t="s">
        <v>1744</v>
      </c>
      <c r="M29" s="264"/>
      <c r="N29" s="277"/>
      <c r="O29" s="278"/>
    </row>
    <row r="30" spans="1:19" ht="13.95" customHeight="1" x14ac:dyDescent="0.25">
      <c r="A30" s="169"/>
      <c r="B30" s="273"/>
      <c r="C30" s="378"/>
      <c r="D30" s="918" t="s">
        <v>127</v>
      </c>
      <c r="E30" s="948">
        <f ca="1">VLOOKUP($G30,Data!$K$2:$O$58,5,FALSE)</f>
        <v>0</v>
      </c>
      <c r="F30" s="378"/>
      <c r="G30" s="918" t="s">
        <v>127</v>
      </c>
      <c r="H30" s="948">
        <f ca="1">VLOOKUP($G30,Data!$K$2:$O$58,5,FALSE)</f>
        <v>0</v>
      </c>
      <c r="I30" s="925" t="s">
        <v>1744</v>
      </c>
      <c r="J30" s="925" t="s">
        <v>1744</v>
      </c>
      <c r="K30" s="925" t="s">
        <v>1744</v>
      </c>
      <c r="L30" s="925" t="s">
        <v>1744</v>
      </c>
      <c r="M30" s="264"/>
      <c r="N30" s="277"/>
      <c r="O30" s="278"/>
    </row>
    <row r="31" spans="1:19" ht="13.95" customHeight="1" x14ac:dyDescent="0.25">
      <c r="A31" s="169"/>
      <c r="B31" s="273"/>
      <c r="C31" s="378"/>
      <c r="D31" s="918" t="s">
        <v>130</v>
      </c>
      <c r="E31" s="948">
        <f ca="1">VLOOKUP($G31,Data!$K$2:$O$58,5,FALSE)</f>
        <v>1</v>
      </c>
      <c r="F31" s="378"/>
      <c r="G31" s="918" t="s">
        <v>130</v>
      </c>
      <c r="H31" s="948">
        <f ca="1">VLOOKUP($G31,Data!$K$2:$O$58,5,FALSE)</f>
        <v>1</v>
      </c>
      <c r="I31" s="925" t="s">
        <v>1744</v>
      </c>
      <c r="J31" s="925" t="s">
        <v>1744</v>
      </c>
      <c r="K31" s="925" t="s">
        <v>1744</v>
      </c>
      <c r="L31" s="925" t="s">
        <v>1744</v>
      </c>
      <c r="M31" s="264"/>
      <c r="N31" s="277"/>
      <c r="O31" s="278"/>
    </row>
    <row r="32" spans="1:19" ht="13.95" customHeight="1" x14ac:dyDescent="0.25">
      <c r="A32" s="169"/>
      <c r="B32" s="273"/>
      <c r="C32" s="378"/>
      <c r="D32" s="918" t="s">
        <v>133</v>
      </c>
      <c r="E32" s="948">
        <f ca="1">VLOOKUP($G32,Data!$K$2:$O$58,5,FALSE)</f>
        <v>0</v>
      </c>
      <c r="F32" s="378"/>
      <c r="G32" s="918" t="s">
        <v>133</v>
      </c>
      <c r="H32" s="948">
        <f ca="1">VLOOKUP($G32,Data!$K$2:$O$58,5,FALSE)</f>
        <v>0</v>
      </c>
      <c r="I32" s="925" t="s">
        <v>1744</v>
      </c>
      <c r="J32" s="925" t="s">
        <v>1744</v>
      </c>
      <c r="K32" s="925" t="s">
        <v>1744</v>
      </c>
      <c r="L32" s="925" t="s">
        <v>1744</v>
      </c>
      <c r="M32" s="264"/>
      <c r="N32" s="277"/>
      <c r="O32" s="278"/>
    </row>
    <row r="33" spans="1:15" ht="13.95" customHeight="1" x14ac:dyDescent="0.25">
      <c r="A33" s="169"/>
      <c r="B33" s="273"/>
      <c r="C33" s="378"/>
      <c r="D33" s="918" t="s">
        <v>1114</v>
      </c>
      <c r="E33" s="948">
        <f ca="1">VLOOKUP($G33,Data!$K$2:$O$58,5,FALSE)</f>
        <v>1</v>
      </c>
      <c r="F33" s="378"/>
      <c r="G33" s="918" t="s">
        <v>1114</v>
      </c>
      <c r="H33" s="948">
        <f ca="1">VLOOKUP($G33,Data!$K$2:$O$58,5,FALSE)</f>
        <v>1</v>
      </c>
      <c r="I33" s="925" t="s">
        <v>1744</v>
      </c>
      <c r="J33" s="925" t="s">
        <v>1744</v>
      </c>
      <c r="K33" s="925" t="s">
        <v>1744</v>
      </c>
      <c r="L33" s="925" t="s">
        <v>1744</v>
      </c>
      <c r="M33" s="264"/>
      <c r="N33" s="277"/>
      <c r="O33" s="278"/>
    </row>
    <row r="34" spans="1:15" ht="13.95" customHeight="1" x14ac:dyDescent="0.25">
      <c r="A34" s="169"/>
      <c r="B34" s="273"/>
      <c r="C34" s="378"/>
      <c r="D34" s="918" t="s">
        <v>48</v>
      </c>
      <c r="E34" s="948">
        <f ca="1">VLOOKUP($G34,Data!$K$2:$O$58,5,FALSE)</f>
        <v>0</v>
      </c>
      <c r="F34" s="378"/>
      <c r="G34" s="918" t="s">
        <v>48</v>
      </c>
      <c r="H34" s="948">
        <f ca="1">VLOOKUP($G34,Data!$K$2:$O$58,5,FALSE)</f>
        <v>0</v>
      </c>
      <c r="I34" s="925" t="s">
        <v>1744</v>
      </c>
      <c r="J34" s="925" t="s">
        <v>1744</v>
      </c>
      <c r="K34" s="925" t="s">
        <v>1744</v>
      </c>
      <c r="L34" s="925" t="s">
        <v>1744</v>
      </c>
      <c r="M34" s="264"/>
      <c r="N34" s="277"/>
      <c r="O34" s="278"/>
    </row>
    <row r="35" spans="1:15" ht="13.95" customHeight="1" x14ac:dyDescent="0.25">
      <c r="A35" s="169"/>
      <c r="B35" s="273"/>
      <c r="C35" s="378"/>
      <c r="D35" s="918" t="s">
        <v>50</v>
      </c>
      <c r="E35" s="948">
        <f ca="1">VLOOKUP($G35,Data!$K$2:$O$58,5,FALSE)</f>
        <v>0</v>
      </c>
      <c r="F35" s="378"/>
      <c r="G35" s="918" t="s">
        <v>50</v>
      </c>
      <c r="H35" s="948">
        <f ca="1">VLOOKUP($G35,Data!$K$2:$O$58,5,FALSE)</f>
        <v>0</v>
      </c>
      <c r="I35" s="925" t="s">
        <v>1744</v>
      </c>
      <c r="J35" s="925" t="s">
        <v>1744</v>
      </c>
      <c r="K35" s="925" t="s">
        <v>1744</v>
      </c>
      <c r="L35" s="925" t="s">
        <v>1744</v>
      </c>
      <c r="M35" s="264"/>
      <c r="N35" s="277"/>
      <c r="O35" s="278"/>
    </row>
    <row r="36" spans="1:15" ht="13.95" customHeight="1" x14ac:dyDescent="0.25">
      <c r="A36" s="169"/>
      <c r="B36" s="273"/>
      <c r="C36" s="378"/>
      <c r="D36" s="918" t="s">
        <v>52</v>
      </c>
      <c r="E36" s="948">
        <f ca="1">VLOOKUP($G36,Data!$K$2:$O$58,5,FALSE)</f>
        <v>0</v>
      </c>
      <c r="F36" s="378"/>
      <c r="G36" s="918" t="s">
        <v>52</v>
      </c>
      <c r="H36" s="948">
        <f ca="1">VLOOKUP($G36,Data!$K$2:$O$58,5,FALSE)</f>
        <v>0</v>
      </c>
      <c r="I36" s="925" t="s">
        <v>1744</v>
      </c>
      <c r="J36" s="925" t="s">
        <v>1744</v>
      </c>
      <c r="K36" s="925" t="s">
        <v>1744</v>
      </c>
      <c r="L36" s="925" t="s">
        <v>1744</v>
      </c>
      <c r="M36" s="264"/>
      <c r="N36" s="277"/>
      <c r="O36" s="278"/>
    </row>
    <row r="37" spans="1:15" ht="13.95" customHeight="1" x14ac:dyDescent="0.25">
      <c r="A37" s="169"/>
      <c r="B37" s="273"/>
      <c r="C37" s="378"/>
      <c r="D37" s="918" t="s">
        <v>54</v>
      </c>
      <c r="E37" s="948">
        <f ca="1">VLOOKUP($G37,Data!$K$2:$O$58,5,FALSE)</f>
        <v>0</v>
      </c>
      <c r="F37" s="378"/>
      <c r="G37" s="918" t="s">
        <v>54</v>
      </c>
      <c r="H37" s="948">
        <f ca="1">VLOOKUP($G37,Data!$K$2:$O$58,5,FALSE)</f>
        <v>0</v>
      </c>
      <c r="I37" s="925" t="s">
        <v>1744</v>
      </c>
      <c r="J37" s="925" t="s">
        <v>1744</v>
      </c>
      <c r="K37" s="925" t="s">
        <v>1744</v>
      </c>
      <c r="L37" s="925" t="s">
        <v>1744</v>
      </c>
      <c r="M37" s="264"/>
      <c r="N37" s="277"/>
      <c r="O37" s="278"/>
    </row>
    <row r="38" spans="1:15" ht="13.95" customHeight="1" x14ac:dyDescent="0.25">
      <c r="A38" s="169"/>
      <c r="B38" s="273"/>
      <c r="C38" s="378"/>
      <c r="D38" s="918" t="s">
        <v>56</v>
      </c>
      <c r="E38" s="948">
        <f ca="1">VLOOKUP($G38,Data!$K$2:$O$58,5,FALSE)</f>
        <v>0</v>
      </c>
      <c r="F38" s="378"/>
      <c r="G38" s="918" t="s">
        <v>56</v>
      </c>
      <c r="H38" s="948">
        <f ca="1">VLOOKUP($G38,Data!$K$2:$O$58,5,FALSE)</f>
        <v>0</v>
      </c>
      <c r="I38" s="925" t="s">
        <v>1744</v>
      </c>
      <c r="J38" s="925" t="s">
        <v>1744</v>
      </c>
      <c r="K38" s="925" t="s">
        <v>1744</v>
      </c>
      <c r="L38" s="925" t="s">
        <v>1744</v>
      </c>
      <c r="M38" s="264"/>
      <c r="N38" s="277"/>
      <c r="O38" s="278"/>
    </row>
    <row r="39" spans="1:15" ht="13.95" customHeight="1" x14ac:dyDescent="0.25">
      <c r="A39" s="169"/>
      <c r="B39" s="273"/>
      <c r="C39" s="378"/>
      <c r="D39" s="918" t="s">
        <v>59</v>
      </c>
      <c r="E39" s="948">
        <f ca="1">VLOOKUP($G39,Data!$K$2:$O$58,5,FALSE)</f>
        <v>1</v>
      </c>
      <c r="F39" s="378"/>
      <c r="G39" s="918" t="s">
        <v>59</v>
      </c>
      <c r="H39" s="948">
        <f ca="1">VLOOKUP($G39,Data!$K$2:$O$58,5,FALSE)</f>
        <v>1</v>
      </c>
      <c r="I39" s="925" t="s">
        <v>1744</v>
      </c>
      <c r="J39" s="925" t="s">
        <v>1744</v>
      </c>
      <c r="K39" s="925" t="s">
        <v>1744</v>
      </c>
      <c r="L39" s="925" t="s">
        <v>1744</v>
      </c>
      <c r="M39" s="264"/>
      <c r="N39" s="277"/>
      <c r="O39" s="278"/>
    </row>
    <row r="40" spans="1:15" ht="13.95" customHeight="1" x14ac:dyDescent="0.25">
      <c r="A40" s="169"/>
      <c r="B40" s="273"/>
      <c r="C40" s="378"/>
      <c r="D40" s="918" t="s">
        <v>57</v>
      </c>
      <c r="E40" s="948">
        <f ca="1">VLOOKUP($G40,Data!$K$2:$O$58,5,FALSE)</f>
        <v>0</v>
      </c>
      <c r="F40" s="378"/>
      <c r="G40" s="918" t="s">
        <v>57</v>
      </c>
      <c r="H40" s="948">
        <f ca="1">VLOOKUP($G40,Data!$K$2:$O$58,5,FALSE)</f>
        <v>0</v>
      </c>
      <c r="I40" s="925" t="s">
        <v>1744</v>
      </c>
      <c r="J40" s="925" t="s">
        <v>1744</v>
      </c>
      <c r="K40" s="925" t="s">
        <v>1744</v>
      </c>
      <c r="L40" s="925" t="s">
        <v>1744</v>
      </c>
      <c r="M40" s="264"/>
      <c r="N40" s="277"/>
      <c r="O40" s="278"/>
    </row>
    <row r="41" spans="1:15" ht="13.95" customHeight="1" x14ac:dyDescent="0.25">
      <c r="A41" s="169"/>
      <c r="B41" s="273"/>
      <c r="C41" s="378"/>
      <c r="D41" s="918" t="s">
        <v>154</v>
      </c>
      <c r="E41" s="948">
        <f ca="1">VLOOKUP($G41,Data!$K$2:$O$58,5,FALSE)</f>
        <v>0</v>
      </c>
      <c r="F41" s="378"/>
      <c r="G41" s="918" t="s">
        <v>154</v>
      </c>
      <c r="H41" s="948">
        <f ca="1">VLOOKUP($G41,Data!$K$2:$O$58,5,FALSE)</f>
        <v>0</v>
      </c>
      <c r="I41" s="925" t="s">
        <v>1744</v>
      </c>
      <c r="J41" s="925" t="s">
        <v>1744</v>
      </c>
      <c r="K41" s="925" t="s">
        <v>1744</v>
      </c>
      <c r="L41" s="925" t="s">
        <v>1744</v>
      </c>
      <c r="M41" s="264"/>
      <c r="N41" s="277"/>
      <c r="O41" s="278"/>
    </row>
    <row r="42" spans="1:15" ht="13.95" customHeight="1" x14ac:dyDescent="0.25">
      <c r="A42" s="169"/>
      <c r="B42" s="273"/>
      <c r="C42" s="378"/>
      <c r="D42" s="918" t="s">
        <v>157</v>
      </c>
      <c r="E42" s="948">
        <f ca="1">VLOOKUP($G42,Data!$K$2:$O$58,5,FALSE)</f>
        <v>0</v>
      </c>
      <c r="F42" s="378"/>
      <c r="G42" s="918" t="s">
        <v>157</v>
      </c>
      <c r="H42" s="948">
        <f ca="1">VLOOKUP($G42,Data!$K$2:$O$58,5,FALSE)</f>
        <v>0</v>
      </c>
      <c r="I42" s="925" t="s">
        <v>1744</v>
      </c>
      <c r="J42" s="925" t="s">
        <v>1744</v>
      </c>
      <c r="K42" s="925" t="s">
        <v>1744</v>
      </c>
      <c r="L42" s="925" t="s">
        <v>1744</v>
      </c>
      <c r="M42" s="264"/>
      <c r="N42" s="277"/>
      <c r="O42" s="278"/>
    </row>
    <row r="43" spans="1:15" ht="13.95" customHeight="1" x14ac:dyDescent="0.25">
      <c r="A43" s="169"/>
      <c r="B43" s="273"/>
      <c r="C43" s="378"/>
      <c r="D43" s="918" t="s">
        <v>159</v>
      </c>
      <c r="E43" s="948">
        <f ca="1">VLOOKUP($G43,Data!$K$2:$O$58,5,FALSE)</f>
        <v>0</v>
      </c>
      <c r="F43" s="378"/>
      <c r="G43" s="918" t="s">
        <v>159</v>
      </c>
      <c r="H43" s="948">
        <f ca="1">VLOOKUP($G43,Data!$K$2:$O$58,5,FALSE)</f>
        <v>0</v>
      </c>
      <c r="I43" s="925" t="s">
        <v>1744</v>
      </c>
      <c r="J43" s="925" t="s">
        <v>1744</v>
      </c>
      <c r="K43" s="925" t="s">
        <v>1744</v>
      </c>
      <c r="L43" s="925" t="s">
        <v>1744</v>
      </c>
      <c r="M43" s="264"/>
      <c r="N43" s="277"/>
      <c r="O43" s="278"/>
    </row>
    <row r="44" spans="1:15" ht="13.95" customHeight="1" x14ac:dyDescent="0.25">
      <c r="A44" s="169"/>
      <c r="B44" s="273"/>
      <c r="C44" s="378"/>
      <c r="D44" s="918" t="s">
        <v>82</v>
      </c>
      <c r="E44" s="948">
        <f ca="1">VLOOKUP($G44,Data!$K$2:$O$58,5,FALSE)</f>
        <v>0</v>
      </c>
      <c r="F44" s="378"/>
      <c r="G44" s="918" t="s">
        <v>82</v>
      </c>
      <c r="H44" s="948">
        <f ca="1">VLOOKUP($G44,Data!$K$2:$O$58,5,FALSE)</f>
        <v>0</v>
      </c>
      <c r="I44" s="925" t="s">
        <v>1744</v>
      </c>
      <c r="J44" s="925" t="s">
        <v>1744</v>
      </c>
      <c r="K44" s="925" t="s">
        <v>1744</v>
      </c>
      <c r="L44" s="925" t="s">
        <v>1744</v>
      </c>
      <c r="M44" s="264"/>
      <c r="N44" s="277"/>
      <c r="O44" s="278"/>
    </row>
    <row r="45" spans="1:15" ht="13.95" customHeight="1" x14ac:dyDescent="0.25">
      <c r="A45" s="169"/>
      <c r="B45" s="273"/>
      <c r="C45" s="378"/>
      <c r="D45" s="918" t="s">
        <v>138</v>
      </c>
      <c r="E45" s="948">
        <f ca="1">VLOOKUP($G45,Data!$K$2:$O$58,5,FALSE)</f>
        <v>0</v>
      </c>
      <c r="F45" s="378"/>
      <c r="G45" s="918" t="s">
        <v>138</v>
      </c>
      <c r="H45" s="948">
        <f ca="1">VLOOKUP($G45,Data!$K$2:$O$58,5,FALSE)</f>
        <v>0</v>
      </c>
      <c r="I45" s="925" t="s">
        <v>1744</v>
      </c>
      <c r="J45" s="925" t="s">
        <v>1744</v>
      </c>
      <c r="K45" s="925" t="s">
        <v>1744</v>
      </c>
      <c r="L45" s="925" t="s">
        <v>1744</v>
      </c>
      <c r="M45" s="264"/>
      <c r="N45" s="277"/>
      <c r="O45" s="278"/>
    </row>
    <row r="46" spans="1:15" ht="13.95" customHeight="1" x14ac:dyDescent="0.25">
      <c r="A46" s="169"/>
      <c r="B46" s="273"/>
      <c r="C46" s="378"/>
      <c r="D46" s="918" t="s">
        <v>141</v>
      </c>
      <c r="E46" s="948">
        <f ca="1">VLOOKUP($G46,Data!$K$2:$O$58,5,FALSE)</f>
        <v>0</v>
      </c>
      <c r="F46" s="378"/>
      <c r="G46" s="918" t="s">
        <v>141</v>
      </c>
      <c r="H46" s="948">
        <f ca="1">VLOOKUP($G46,Data!$K$2:$O$58,5,FALSE)</f>
        <v>0</v>
      </c>
      <c r="I46" s="925" t="s">
        <v>1744</v>
      </c>
      <c r="J46" s="925" t="s">
        <v>1744</v>
      </c>
      <c r="K46" s="925" t="s">
        <v>1744</v>
      </c>
      <c r="L46" s="925" t="s">
        <v>1744</v>
      </c>
      <c r="M46" s="264"/>
      <c r="N46" s="277"/>
      <c r="O46" s="278"/>
    </row>
    <row r="47" spans="1:15" ht="13.95" customHeight="1" x14ac:dyDescent="0.25">
      <c r="A47" s="169"/>
      <c r="B47" s="273"/>
      <c r="C47" s="378"/>
      <c r="D47" s="918" t="s">
        <v>144</v>
      </c>
      <c r="E47" s="948">
        <f ca="1">VLOOKUP($G47,Data!$K$2:$O$58,5,FALSE)</f>
        <v>1</v>
      </c>
      <c r="F47" s="378"/>
      <c r="G47" s="918" t="s">
        <v>144</v>
      </c>
      <c r="H47" s="948">
        <f ca="1">VLOOKUP($G47,Data!$K$2:$O$58,5,FALSE)</f>
        <v>1</v>
      </c>
      <c r="I47" s="925" t="s">
        <v>1744</v>
      </c>
      <c r="J47" s="925" t="s">
        <v>1744</v>
      </c>
      <c r="K47" s="925" t="s">
        <v>1744</v>
      </c>
      <c r="L47" s="925" t="s">
        <v>1744</v>
      </c>
      <c r="M47" s="264"/>
      <c r="N47" s="277"/>
      <c r="O47" s="278"/>
    </row>
    <row r="48" spans="1:15" ht="13.95" customHeight="1" x14ac:dyDescent="0.25">
      <c r="A48" s="169"/>
      <c r="B48" s="273"/>
      <c r="C48" s="378"/>
      <c r="D48" s="918" t="s">
        <v>71</v>
      </c>
      <c r="E48" s="948">
        <f ca="1">VLOOKUP($G48,Data!$K$2:$O$58,5,FALSE)</f>
        <v>0</v>
      </c>
      <c r="F48" s="378"/>
      <c r="G48" s="918" t="s">
        <v>71</v>
      </c>
      <c r="H48" s="948">
        <f ca="1">VLOOKUP($G48,Data!$K$2:$O$58,5,FALSE)</f>
        <v>0</v>
      </c>
      <c r="I48" s="925" t="s">
        <v>1744</v>
      </c>
      <c r="J48" s="925" t="s">
        <v>1744</v>
      </c>
      <c r="K48" s="925" t="s">
        <v>1744</v>
      </c>
      <c r="L48" s="925" t="s">
        <v>1744</v>
      </c>
      <c r="M48" s="264"/>
      <c r="N48" s="277"/>
      <c r="O48" s="278"/>
    </row>
    <row r="49" spans="1:15" ht="13.95" customHeight="1" x14ac:dyDescent="0.25">
      <c r="A49" s="169"/>
      <c r="B49" s="273"/>
      <c r="C49" s="378"/>
      <c r="D49" s="918" t="s">
        <v>93</v>
      </c>
      <c r="E49" s="948">
        <f ca="1">VLOOKUP($G49,Data!$K$2:$O$58,5,FALSE)</f>
        <v>0</v>
      </c>
      <c r="F49" s="378"/>
      <c r="G49" s="918" t="s">
        <v>93</v>
      </c>
      <c r="H49" s="948">
        <f ca="1">VLOOKUP($G49,Data!$K$2:$O$58,5,FALSE)</f>
        <v>0</v>
      </c>
      <c r="I49" s="925" t="s">
        <v>1744</v>
      </c>
      <c r="J49" s="925" t="s">
        <v>1744</v>
      </c>
      <c r="K49" s="925" t="s">
        <v>1744</v>
      </c>
      <c r="L49" s="925" t="s">
        <v>1744</v>
      </c>
      <c r="M49" s="264"/>
      <c r="N49" s="277"/>
      <c r="O49" s="278"/>
    </row>
    <row r="50" spans="1:15" ht="13.95" customHeight="1" x14ac:dyDescent="0.25">
      <c r="A50" s="169"/>
      <c r="B50" s="273"/>
      <c r="C50" s="378"/>
      <c r="D50" s="918" t="s">
        <v>95</v>
      </c>
      <c r="E50" s="948">
        <f ca="1">VLOOKUP($G50,Data!$K$2:$O$58,5,FALSE)</f>
        <v>0</v>
      </c>
      <c r="F50" s="378"/>
      <c r="G50" s="918" t="s">
        <v>95</v>
      </c>
      <c r="H50" s="948">
        <f ca="1">VLOOKUP($G50,Data!$K$2:$O$58,5,FALSE)</f>
        <v>0</v>
      </c>
      <c r="I50" s="925" t="s">
        <v>1744</v>
      </c>
      <c r="J50" s="925" t="s">
        <v>1744</v>
      </c>
      <c r="K50" s="925" t="s">
        <v>1744</v>
      </c>
      <c r="L50" s="925" t="s">
        <v>1744</v>
      </c>
      <c r="M50" s="264"/>
      <c r="N50" s="277"/>
      <c r="O50" s="278"/>
    </row>
    <row r="51" spans="1:15" ht="13.95" customHeight="1" x14ac:dyDescent="0.25">
      <c r="A51" s="169"/>
      <c r="B51" s="273"/>
      <c r="C51" s="378"/>
      <c r="D51" s="918" t="s">
        <v>97</v>
      </c>
      <c r="E51" s="948">
        <f ca="1">VLOOKUP($G51,Data!$K$2:$O$58,5,FALSE)</f>
        <v>0</v>
      </c>
      <c r="F51" s="378"/>
      <c r="G51" s="918" t="s">
        <v>97</v>
      </c>
      <c r="H51" s="948">
        <f ca="1">VLOOKUP($G51,Data!$K$2:$O$58,5,FALSE)</f>
        <v>0</v>
      </c>
      <c r="I51" s="925" t="s">
        <v>1744</v>
      </c>
      <c r="J51" s="925" t="s">
        <v>1744</v>
      </c>
      <c r="K51" s="925" t="s">
        <v>1744</v>
      </c>
      <c r="L51" s="925" t="s">
        <v>1744</v>
      </c>
      <c r="M51" s="264"/>
      <c r="N51" s="277"/>
      <c r="O51" s="278"/>
    </row>
    <row r="52" spans="1:15" ht="13.95" customHeight="1" x14ac:dyDescent="0.25">
      <c r="A52" s="169"/>
      <c r="B52" s="273"/>
      <c r="C52" s="378"/>
      <c r="D52" s="918" t="s">
        <v>99</v>
      </c>
      <c r="E52" s="948">
        <f ca="1">VLOOKUP($G52,Data!$K$2:$O$58,5,FALSE)</f>
        <v>0</v>
      </c>
      <c r="F52" s="378"/>
      <c r="G52" s="918" t="s">
        <v>99</v>
      </c>
      <c r="H52" s="948">
        <f ca="1">VLOOKUP($G52,Data!$K$2:$O$58,5,FALSE)</f>
        <v>0</v>
      </c>
      <c r="I52" s="925" t="s">
        <v>1744</v>
      </c>
      <c r="J52" s="925" t="s">
        <v>1744</v>
      </c>
      <c r="K52" s="925" t="s">
        <v>1744</v>
      </c>
      <c r="L52" s="925" t="s">
        <v>1744</v>
      </c>
      <c r="M52" s="264"/>
      <c r="N52" s="277"/>
      <c r="O52" s="278"/>
    </row>
    <row r="53" spans="1:15" ht="13.95" customHeight="1" x14ac:dyDescent="0.25">
      <c r="A53" s="169"/>
      <c r="B53" s="273"/>
      <c r="C53" s="378"/>
      <c r="D53" s="918" t="s">
        <v>1112</v>
      </c>
      <c r="E53" s="948">
        <f ca="1">VLOOKUP($G53,Data!$K$2:$O$58,5,FALSE)</f>
        <v>1</v>
      </c>
      <c r="F53" s="378"/>
      <c r="G53" s="918" t="s">
        <v>1112</v>
      </c>
      <c r="H53" s="948">
        <f ca="1">VLOOKUP($G53,Data!$K$2:$O$58,5,FALSE)</f>
        <v>1</v>
      </c>
      <c r="I53" s="925" t="s">
        <v>1744</v>
      </c>
      <c r="J53" s="925" t="s">
        <v>1744</v>
      </c>
      <c r="K53" s="925" t="s">
        <v>1744</v>
      </c>
      <c r="L53" s="925" t="s">
        <v>1744</v>
      </c>
      <c r="M53" s="264"/>
      <c r="N53" s="277"/>
      <c r="O53" s="278"/>
    </row>
    <row r="54" spans="1:15" ht="13.95" customHeight="1" x14ac:dyDescent="0.25">
      <c r="A54" s="169"/>
      <c r="B54" s="273"/>
      <c r="C54" s="378"/>
      <c r="D54" s="918" t="s">
        <v>0</v>
      </c>
      <c r="E54" s="948">
        <f ca="1">VLOOKUP($G54,Data!$K$2:$O$58,5,FALSE)</f>
        <v>0</v>
      </c>
      <c r="F54" s="378"/>
      <c r="G54" s="918" t="s">
        <v>0</v>
      </c>
      <c r="H54" s="948">
        <f ca="1">VLOOKUP($G54,Data!$K$2:$O$58,5,FALSE)</f>
        <v>0</v>
      </c>
      <c r="I54" s="925" t="s">
        <v>1744</v>
      </c>
      <c r="J54" s="925" t="s">
        <v>1744</v>
      </c>
      <c r="K54" s="925" t="s">
        <v>1744</v>
      </c>
      <c r="L54" s="925" t="s">
        <v>1744</v>
      </c>
      <c r="M54" s="264"/>
      <c r="N54" s="277"/>
      <c r="O54" s="278"/>
    </row>
    <row r="55" spans="1:15" ht="13.95" customHeight="1" x14ac:dyDescent="0.25">
      <c r="A55" s="169"/>
      <c r="B55" s="273"/>
      <c r="C55" s="378"/>
      <c r="D55" s="918" t="s">
        <v>40</v>
      </c>
      <c r="E55" s="948">
        <f ca="1">VLOOKUP($G55,Data!$K$2:$O$58,5,FALSE)</f>
        <v>0</v>
      </c>
      <c r="F55" s="378"/>
      <c r="G55" s="918" t="s">
        <v>40</v>
      </c>
      <c r="H55" s="948">
        <f ca="1">VLOOKUP($G55,Data!$K$2:$O$58,5,FALSE)</f>
        <v>0</v>
      </c>
      <c r="I55" s="925" t="s">
        <v>1744</v>
      </c>
      <c r="J55" s="925" t="s">
        <v>1744</v>
      </c>
      <c r="K55" s="925" t="s">
        <v>1744</v>
      </c>
      <c r="L55" s="925" t="s">
        <v>1744</v>
      </c>
      <c r="M55" s="264"/>
      <c r="N55" s="277"/>
      <c r="O55" s="278"/>
    </row>
    <row r="56" spans="1:15" ht="13.95" customHeight="1" x14ac:dyDescent="0.25">
      <c r="A56" s="169"/>
      <c r="B56" s="273"/>
      <c r="C56" s="378"/>
      <c r="D56" s="918" t="s">
        <v>44</v>
      </c>
      <c r="E56" s="948">
        <f ca="1">VLOOKUP($G56,Data!$K$2:$O$58,5,FALSE)</f>
        <v>0</v>
      </c>
      <c r="F56" s="378"/>
      <c r="G56" s="918" t="s">
        <v>44</v>
      </c>
      <c r="H56" s="948">
        <f ca="1">VLOOKUP($G56,Data!$K$2:$O$58,5,FALSE)</f>
        <v>0</v>
      </c>
      <c r="I56" s="925" t="s">
        <v>1744</v>
      </c>
      <c r="J56" s="925" t="s">
        <v>1744</v>
      </c>
      <c r="K56" s="925" t="s">
        <v>1744</v>
      </c>
      <c r="L56" s="925" t="s">
        <v>1744</v>
      </c>
      <c r="M56" s="264"/>
      <c r="N56" s="277"/>
      <c r="O56" s="278"/>
    </row>
    <row r="57" spans="1:15" ht="13.95" customHeight="1" x14ac:dyDescent="0.25">
      <c r="A57" s="169"/>
      <c r="B57" s="273"/>
      <c r="C57" s="378"/>
      <c r="D57" s="918" t="s">
        <v>46</v>
      </c>
      <c r="E57" s="948">
        <f ca="1">VLOOKUP($G57,Data!$K$2:$O$58,5,FALSE)</f>
        <v>0</v>
      </c>
      <c r="F57" s="378"/>
      <c r="G57" s="918" t="s">
        <v>46</v>
      </c>
      <c r="H57" s="948">
        <f ca="1">VLOOKUP($G57,Data!$K$2:$O$58,5,FALSE)</f>
        <v>0</v>
      </c>
      <c r="I57" s="925" t="s">
        <v>1744</v>
      </c>
      <c r="J57" s="925" t="s">
        <v>1744</v>
      </c>
      <c r="K57" s="925" t="s">
        <v>1744</v>
      </c>
      <c r="L57" s="925" t="s">
        <v>1744</v>
      </c>
      <c r="M57" s="264"/>
      <c r="N57" s="277"/>
      <c r="O57" s="278"/>
    </row>
    <row r="58" spans="1:15" ht="13.95" customHeight="1" x14ac:dyDescent="0.25">
      <c r="A58" s="169"/>
      <c r="B58" s="273"/>
      <c r="C58" s="378"/>
      <c r="D58" s="918" t="s">
        <v>1101</v>
      </c>
      <c r="E58" s="948">
        <f ca="1">VLOOKUP($G58,Data!$K$2:$O$58,5,FALSE)</f>
        <v>0</v>
      </c>
      <c r="F58" s="378"/>
      <c r="G58" s="918" t="s">
        <v>1101</v>
      </c>
      <c r="H58" s="948">
        <f ca="1">VLOOKUP($G58,Data!$K$2:$O$58,5,FALSE)</f>
        <v>0</v>
      </c>
      <c r="I58" s="925" t="s">
        <v>1744</v>
      </c>
      <c r="J58" s="925" t="s">
        <v>1744</v>
      </c>
      <c r="K58" s="925" t="s">
        <v>1744</v>
      </c>
      <c r="L58" s="925" t="s">
        <v>1744</v>
      </c>
      <c r="M58" s="264"/>
      <c r="N58" s="277"/>
      <c r="O58" s="278"/>
    </row>
    <row r="59" spans="1:15" ht="13.95" customHeight="1" x14ac:dyDescent="0.25">
      <c r="A59" s="169"/>
      <c r="B59" s="273"/>
      <c r="C59" s="378"/>
      <c r="D59" s="918" t="s">
        <v>1102</v>
      </c>
      <c r="E59" s="948">
        <f ca="1">VLOOKUP($G59,Data!$K$2:$O$58,5,FALSE)</f>
        <v>1</v>
      </c>
      <c r="F59" s="378"/>
      <c r="G59" s="918" t="s">
        <v>1102</v>
      </c>
      <c r="H59" s="948">
        <f ca="1">VLOOKUP($G59,Data!$K$2:$O$58,5,FALSE)</f>
        <v>1</v>
      </c>
      <c r="I59" s="925" t="s">
        <v>1744</v>
      </c>
      <c r="J59" s="925" t="s">
        <v>1744</v>
      </c>
      <c r="K59" s="925" t="s">
        <v>1744</v>
      </c>
      <c r="L59" s="925" t="s">
        <v>1744</v>
      </c>
      <c r="M59" s="264"/>
      <c r="N59" s="277"/>
      <c r="O59" s="278"/>
    </row>
    <row r="60" spans="1:15" ht="13.95" customHeight="1" x14ac:dyDescent="0.25">
      <c r="A60" s="169"/>
      <c r="B60" s="273"/>
      <c r="C60" s="378"/>
      <c r="D60" s="918" t="s">
        <v>69</v>
      </c>
      <c r="E60" s="948">
        <f ca="1">VLOOKUP($G60,Data!$K$2:$O$58,5,FALSE)</f>
        <v>0</v>
      </c>
      <c r="F60" s="378"/>
      <c r="G60" s="918" t="s">
        <v>69</v>
      </c>
      <c r="H60" s="948">
        <f ca="1">VLOOKUP($G60,Data!$K$2:$O$58,5,FALSE)</f>
        <v>0</v>
      </c>
      <c r="I60" s="925" t="s">
        <v>1744</v>
      </c>
      <c r="J60" s="925" t="s">
        <v>1744</v>
      </c>
      <c r="K60" s="925" t="s">
        <v>1744</v>
      </c>
      <c r="L60" s="925" t="s">
        <v>1744</v>
      </c>
      <c r="M60" s="264"/>
      <c r="N60" s="277"/>
      <c r="O60" s="278"/>
    </row>
    <row r="61" spans="1:15" ht="13.95" customHeight="1" x14ac:dyDescent="0.25">
      <c r="A61" s="169"/>
      <c r="B61" s="273"/>
      <c r="C61" s="378"/>
      <c r="D61" s="918" t="s">
        <v>84</v>
      </c>
      <c r="E61" s="948">
        <f ca="1">VLOOKUP($G61,Data!$K$2:$O$58,5,FALSE)</f>
        <v>0</v>
      </c>
      <c r="F61" s="378"/>
      <c r="G61" s="918" t="s">
        <v>84</v>
      </c>
      <c r="H61" s="948">
        <f ca="1">VLOOKUP($G61,Data!$K$2:$O$58,5,FALSE)</f>
        <v>0</v>
      </c>
      <c r="I61" s="925" t="s">
        <v>1744</v>
      </c>
      <c r="J61" s="925" t="s">
        <v>1744</v>
      </c>
      <c r="K61" s="925" t="s">
        <v>1744</v>
      </c>
      <c r="L61" s="925" t="s">
        <v>1744</v>
      </c>
      <c r="M61" s="264"/>
      <c r="N61" s="277"/>
      <c r="O61" s="278"/>
    </row>
    <row r="62" spans="1:15" ht="13.95" customHeight="1" x14ac:dyDescent="0.25">
      <c r="A62" s="169"/>
      <c r="B62" s="273"/>
      <c r="C62" s="378"/>
      <c r="D62" s="918" t="s">
        <v>86</v>
      </c>
      <c r="E62" s="948">
        <f ca="1">VLOOKUP($G62,Data!$K$2:$O$58,5,FALSE)</f>
        <v>0</v>
      </c>
      <c r="F62" s="378"/>
      <c r="G62" s="918" t="s">
        <v>86</v>
      </c>
      <c r="H62" s="948">
        <f ca="1">VLOOKUP($G62,Data!$K$2:$O$58,5,FALSE)</f>
        <v>0</v>
      </c>
      <c r="I62" s="925" t="s">
        <v>1744</v>
      </c>
      <c r="J62" s="925" t="s">
        <v>1744</v>
      </c>
      <c r="K62" s="925" t="s">
        <v>1744</v>
      </c>
      <c r="L62" s="925" t="s">
        <v>1744</v>
      </c>
      <c r="M62" s="264"/>
      <c r="N62" s="277"/>
      <c r="O62" s="278"/>
    </row>
    <row r="63" spans="1:15" ht="13.95" customHeight="1" x14ac:dyDescent="0.25">
      <c r="A63" s="169"/>
      <c r="B63" s="273"/>
      <c r="C63" s="378"/>
      <c r="D63" s="918" t="s">
        <v>88</v>
      </c>
      <c r="E63" s="948">
        <f ca="1">VLOOKUP($G63,Data!$K$2:$O$58,5,FALSE)</f>
        <v>1</v>
      </c>
      <c r="F63" s="378"/>
      <c r="G63" s="918" t="s">
        <v>88</v>
      </c>
      <c r="H63" s="948">
        <f ca="1">VLOOKUP($G63,Data!$K$2:$O$58,5,FALSE)</f>
        <v>1</v>
      </c>
      <c r="I63" s="925" t="s">
        <v>1744</v>
      </c>
      <c r="J63" s="925" t="s">
        <v>1744</v>
      </c>
      <c r="K63" s="925" t="s">
        <v>1744</v>
      </c>
      <c r="L63" s="925" t="s">
        <v>1744</v>
      </c>
      <c r="M63" s="264"/>
      <c r="N63" s="277"/>
      <c r="O63" s="278"/>
    </row>
    <row r="64" spans="1:15" ht="13.95" customHeight="1" x14ac:dyDescent="0.25">
      <c r="A64" s="169"/>
      <c r="B64" s="273"/>
      <c r="C64" s="378"/>
      <c r="D64" s="918" t="s">
        <v>90</v>
      </c>
      <c r="E64" s="948">
        <f ca="1">VLOOKUP($G64,Data!$K$2:$O$58,5,FALSE)</f>
        <v>1</v>
      </c>
      <c r="F64" s="378"/>
      <c r="G64" s="918" t="s">
        <v>90</v>
      </c>
      <c r="H64" s="948">
        <f ca="1">VLOOKUP($G64,Data!$K$2:$O$58,5,FALSE)</f>
        <v>1</v>
      </c>
      <c r="I64" s="925" t="s">
        <v>1744</v>
      </c>
      <c r="J64" s="925" t="s">
        <v>1744</v>
      </c>
      <c r="K64" s="925" t="s">
        <v>1744</v>
      </c>
      <c r="L64" s="925" t="s">
        <v>1744</v>
      </c>
      <c r="M64" s="264"/>
      <c r="N64" s="277"/>
      <c r="O64" s="278"/>
    </row>
    <row r="65" spans="1:15" ht="13.95" customHeight="1" x14ac:dyDescent="0.25">
      <c r="A65" s="169"/>
      <c r="B65" s="273"/>
      <c r="C65" s="378"/>
      <c r="D65" s="918" t="s">
        <v>1145</v>
      </c>
      <c r="E65" s="948">
        <f ca="1">VLOOKUP($G65,Data!$K$2:$O$58,5,FALSE)</f>
        <v>0</v>
      </c>
      <c r="F65" s="378"/>
      <c r="G65" s="918" t="s">
        <v>1145</v>
      </c>
      <c r="H65" s="948">
        <f ca="1">VLOOKUP($G65,Data!$K$2:$O$58,5,FALSE)</f>
        <v>0</v>
      </c>
      <c r="I65" s="925" t="s">
        <v>1744</v>
      </c>
      <c r="J65" s="925" t="s">
        <v>1744</v>
      </c>
      <c r="K65" s="925" t="s">
        <v>1744</v>
      </c>
      <c r="L65" s="925" t="s">
        <v>1744</v>
      </c>
      <c r="M65" s="264"/>
      <c r="N65" s="277"/>
      <c r="O65" s="278"/>
    </row>
    <row r="66" spans="1:15" ht="13.95" customHeight="1" x14ac:dyDescent="0.25">
      <c r="A66" s="169"/>
      <c r="B66" s="273"/>
      <c r="C66" s="378"/>
      <c r="D66" s="918" t="s">
        <v>1121</v>
      </c>
      <c r="E66" s="948">
        <f ca="1">VLOOKUP($G66,Data!$K$2:$O$58,5,FALSE)</f>
        <v>0</v>
      </c>
      <c r="F66" s="378"/>
      <c r="G66" s="918" t="s">
        <v>1121</v>
      </c>
      <c r="H66" s="948">
        <f ca="1">VLOOKUP($G66,Data!$K$2:$O$58,5,FALSE)</f>
        <v>0</v>
      </c>
      <c r="I66" s="925" t="s">
        <v>1744</v>
      </c>
      <c r="J66" s="925" t="s">
        <v>1744</v>
      </c>
      <c r="K66" s="925" t="s">
        <v>1744</v>
      </c>
      <c r="L66" s="925" t="s">
        <v>1744</v>
      </c>
      <c r="M66" s="264"/>
      <c r="N66" s="277"/>
      <c r="O66" s="278"/>
    </row>
    <row r="67" spans="1:15" ht="13.95" customHeight="1" x14ac:dyDescent="0.25">
      <c r="A67" s="169"/>
      <c r="B67" s="273"/>
      <c r="C67" s="378"/>
      <c r="D67" s="918" t="s">
        <v>1127</v>
      </c>
      <c r="E67" s="948">
        <f ca="1">VLOOKUP($G67,Data!$K$2:$O$58,5,FALSE)</f>
        <v>0</v>
      </c>
      <c r="F67" s="378"/>
      <c r="G67" s="918" t="s">
        <v>1127</v>
      </c>
      <c r="H67" s="948">
        <f ca="1">VLOOKUP($G67,Data!$K$2:$O$58,5,FALSE)</f>
        <v>0</v>
      </c>
      <c r="I67" s="925" t="s">
        <v>1744</v>
      </c>
      <c r="J67" s="925" t="s">
        <v>1744</v>
      </c>
      <c r="K67" s="925" t="s">
        <v>1744</v>
      </c>
      <c r="L67" s="925" t="s">
        <v>1744</v>
      </c>
      <c r="M67" s="264"/>
      <c r="N67" s="277"/>
      <c r="O67" s="278"/>
    </row>
    <row r="68" spans="1:15" ht="13.95" customHeight="1" x14ac:dyDescent="0.25">
      <c r="A68" s="169"/>
      <c r="B68" s="273"/>
      <c r="C68" s="378"/>
      <c r="D68" s="918" t="s">
        <v>1146</v>
      </c>
      <c r="E68" s="948">
        <f ca="1">VLOOKUP($G68,Data!$K$2:$O$58,5,FALSE)</f>
        <v>1</v>
      </c>
      <c r="F68" s="378"/>
      <c r="G68" s="918" t="s">
        <v>1146</v>
      </c>
      <c r="H68" s="948">
        <f ca="1">VLOOKUP($G68,Data!$K$2:$O$58,5,FALSE)</f>
        <v>1</v>
      </c>
      <c r="I68" s="925" t="s">
        <v>1744</v>
      </c>
      <c r="J68" s="925" t="s">
        <v>1744</v>
      </c>
      <c r="K68" s="925" t="s">
        <v>1744</v>
      </c>
      <c r="L68" s="925" t="s">
        <v>1744</v>
      </c>
      <c r="M68" s="264"/>
      <c r="N68" s="277"/>
      <c r="O68" s="278"/>
    </row>
    <row r="69" spans="1:15" ht="13.95" customHeight="1" x14ac:dyDescent="0.25">
      <c r="A69" s="169"/>
      <c r="B69" s="273"/>
      <c r="C69" s="378"/>
      <c r="D69" s="918" t="s">
        <v>66</v>
      </c>
      <c r="E69" s="948">
        <f ca="1">VLOOKUP($G69,Data!$K$2:$O$58,5,FALSE)</f>
        <v>0</v>
      </c>
      <c r="F69" s="378"/>
      <c r="G69" s="918" t="s">
        <v>66</v>
      </c>
      <c r="H69" s="948">
        <f ca="1">VLOOKUP($G69,Data!$K$2:$O$58,5,FALSE)</f>
        <v>0</v>
      </c>
      <c r="I69" s="925" t="s">
        <v>1744</v>
      </c>
      <c r="J69" s="925" t="s">
        <v>1744</v>
      </c>
      <c r="K69" s="925" t="s">
        <v>1744</v>
      </c>
      <c r="L69" s="925" t="s">
        <v>1744</v>
      </c>
      <c r="M69" s="264"/>
      <c r="N69" s="277"/>
      <c r="O69" s="278"/>
    </row>
    <row r="70" spans="1:15" ht="13.95" customHeight="1" x14ac:dyDescent="0.25">
      <c r="A70" s="169"/>
      <c r="B70" s="273"/>
      <c r="C70" s="378"/>
      <c r="D70" s="918" t="s">
        <v>73</v>
      </c>
      <c r="E70" s="948">
        <f ca="1">VLOOKUP($G70,Data!$K$2:$O$58,5,FALSE)</f>
        <v>0</v>
      </c>
      <c r="F70" s="378"/>
      <c r="G70" s="918" t="s">
        <v>73</v>
      </c>
      <c r="H70" s="948">
        <f ca="1">VLOOKUP($G70,Data!$K$2:$O$58,5,FALSE)</f>
        <v>0</v>
      </c>
      <c r="I70" s="925" t="s">
        <v>1744</v>
      </c>
      <c r="J70" s="925" t="s">
        <v>1744</v>
      </c>
      <c r="K70" s="925" t="s">
        <v>1744</v>
      </c>
      <c r="L70" s="925" t="s">
        <v>1744</v>
      </c>
      <c r="M70" s="264"/>
      <c r="N70" s="277"/>
      <c r="O70" s="278"/>
    </row>
    <row r="71" spans="1:15" ht="13.95" customHeight="1" x14ac:dyDescent="0.25">
      <c r="A71" s="169"/>
      <c r="B71" s="273"/>
      <c r="C71" s="378"/>
      <c r="D71" s="918" t="s">
        <v>76</v>
      </c>
      <c r="E71" s="948">
        <f ca="1">VLOOKUP($G71,Data!$K$2:$O$58,5,FALSE)</f>
        <v>0</v>
      </c>
      <c r="F71" s="378"/>
      <c r="G71" s="918" t="s">
        <v>76</v>
      </c>
      <c r="H71" s="948">
        <f ca="1">VLOOKUP($G71,Data!$K$2:$O$58,5,FALSE)</f>
        <v>0</v>
      </c>
      <c r="I71" s="925" t="s">
        <v>1744</v>
      </c>
      <c r="J71" s="925" t="s">
        <v>1744</v>
      </c>
      <c r="K71" s="925" t="s">
        <v>1744</v>
      </c>
      <c r="L71" s="925" t="s">
        <v>1744</v>
      </c>
      <c r="M71" s="264"/>
      <c r="N71" s="277"/>
      <c r="O71" s="278"/>
    </row>
    <row r="72" spans="1:15" ht="13.95" customHeight="1" x14ac:dyDescent="0.25">
      <c r="A72" s="169"/>
      <c r="B72" s="273"/>
      <c r="C72" s="378"/>
      <c r="D72" s="918" t="s">
        <v>79</v>
      </c>
      <c r="E72" s="948">
        <f ca="1">VLOOKUP($G72,Data!$K$2:$O$58,5,FALSE)</f>
        <v>1</v>
      </c>
      <c r="F72" s="378"/>
      <c r="G72" s="918" t="s">
        <v>79</v>
      </c>
      <c r="H72" s="948">
        <f ca="1">VLOOKUP($G72,Data!$K$2:$O$58,5,FALSE)</f>
        <v>1</v>
      </c>
      <c r="I72" s="925" t="s">
        <v>1744</v>
      </c>
      <c r="J72" s="925" t="s">
        <v>1744</v>
      </c>
      <c r="K72" s="925" t="s">
        <v>1744</v>
      </c>
      <c r="L72" s="925" t="s">
        <v>1744</v>
      </c>
      <c r="M72" s="264"/>
      <c r="N72" s="277"/>
      <c r="O72" s="278"/>
    </row>
    <row r="73" spans="1:15" ht="13.95" customHeight="1" x14ac:dyDescent="0.25">
      <c r="A73" s="169"/>
      <c r="B73" s="273"/>
      <c r="C73" s="378"/>
      <c r="D73" s="918" t="s">
        <v>77</v>
      </c>
      <c r="E73" s="948">
        <f ca="1">VLOOKUP($G73,Data!$K$2:$O$58,5,FALSE)</f>
        <v>0</v>
      </c>
      <c r="F73" s="378"/>
      <c r="G73" s="918" t="s">
        <v>77</v>
      </c>
      <c r="H73" s="948">
        <f ca="1">VLOOKUP($G73,Data!$K$2:$O$58,5,FALSE)</f>
        <v>0</v>
      </c>
      <c r="I73" s="925" t="s">
        <v>1744</v>
      </c>
      <c r="J73" s="925" t="s">
        <v>1744</v>
      </c>
      <c r="K73" s="925" t="s">
        <v>1744</v>
      </c>
      <c r="L73" s="925" t="s">
        <v>1744</v>
      </c>
      <c r="M73" s="264"/>
      <c r="N73" s="277"/>
      <c r="O73" s="278"/>
    </row>
    <row r="74" spans="1:15" ht="13.95" customHeight="1" x14ac:dyDescent="0.25">
      <c r="A74" s="169"/>
      <c r="B74" s="273"/>
      <c r="C74" s="378"/>
      <c r="D74" s="918" t="s">
        <v>110</v>
      </c>
      <c r="E74" s="948">
        <f ca="1">VLOOKUP($G74,Data!$K$2:$O$58,5,FALSE)</f>
        <v>0</v>
      </c>
      <c r="F74" s="378"/>
      <c r="G74" s="918" t="s">
        <v>110</v>
      </c>
      <c r="H74" s="948">
        <f ca="1">VLOOKUP($G74,Data!$K$2:$O$58,5,FALSE)</f>
        <v>0</v>
      </c>
      <c r="I74" s="925" t="s">
        <v>1744</v>
      </c>
      <c r="J74" s="925" t="s">
        <v>1744</v>
      </c>
      <c r="K74" s="925" t="s">
        <v>1744</v>
      </c>
      <c r="L74" s="925" t="s">
        <v>1744</v>
      </c>
      <c r="M74" s="264"/>
      <c r="N74" s="277"/>
      <c r="O74" s="278"/>
    </row>
    <row r="75" spans="1:15" ht="13.95" customHeight="1" x14ac:dyDescent="0.25">
      <c r="A75" s="169"/>
      <c r="B75" s="273"/>
      <c r="C75" s="378"/>
      <c r="D75" s="941" t="s">
        <v>112</v>
      </c>
      <c r="E75" s="948">
        <f ca="1">VLOOKUP($G75,Data!$K$2:$O$58,5,FALSE)</f>
        <v>0</v>
      </c>
      <c r="F75" s="378"/>
      <c r="G75" s="941" t="s">
        <v>112</v>
      </c>
      <c r="H75" s="948">
        <f ca="1">VLOOKUP($G75,Data!$K$2:$O$58,5,FALSE)</f>
        <v>0</v>
      </c>
      <c r="I75" s="925" t="s">
        <v>1744</v>
      </c>
      <c r="J75" s="925" t="s">
        <v>1744</v>
      </c>
      <c r="K75" s="925" t="s">
        <v>1744</v>
      </c>
      <c r="L75" s="925" t="s">
        <v>1744</v>
      </c>
      <c r="M75" s="264"/>
      <c r="N75" s="277"/>
      <c r="O75" s="278"/>
    </row>
    <row r="76" spans="1:15" ht="13.95" customHeight="1" x14ac:dyDescent="0.25">
      <c r="A76" s="169"/>
      <c r="B76" s="273"/>
      <c r="C76" s="378"/>
      <c r="D76" s="941" t="s">
        <v>114</v>
      </c>
      <c r="E76" s="948">
        <f ca="1">VLOOKUP($G76,Data!$K$2:$O$58,5,FALSE)</f>
        <v>0</v>
      </c>
      <c r="F76" s="378"/>
      <c r="G76" s="941" t="s">
        <v>114</v>
      </c>
      <c r="H76" s="948">
        <f ca="1">VLOOKUP($G76,Data!$K$2:$O$58,5,FALSE)</f>
        <v>0</v>
      </c>
      <c r="I76" s="925" t="s">
        <v>1744</v>
      </c>
      <c r="J76" s="925" t="s">
        <v>1744</v>
      </c>
      <c r="K76" s="925" t="s">
        <v>1744</v>
      </c>
      <c r="L76" s="925" t="s">
        <v>1744</v>
      </c>
      <c r="M76" s="264"/>
      <c r="N76" s="277"/>
      <c r="O76" s="278"/>
    </row>
    <row r="77" spans="1:15" ht="13.95" customHeight="1" x14ac:dyDescent="0.25">
      <c r="A77" s="169"/>
      <c r="B77" s="273"/>
      <c r="C77" s="378"/>
      <c r="D77" s="941" t="s">
        <v>116</v>
      </c>
      <c r="E77" s="948">
        <f ca="1">VLOOKUP($G77,Data!$K$2:$O$58,5,FALSE)</f>
        <v>0</v>
      </c>
      <c r="F77" s="378"/>
      <c r="G77" s="941" t="s">
        <v>116</v>
      </c>
      <c r="H77" s="948">
        <f ca="1">VLOOKUP($G77,Data!$K$2:$O$58,5,FALSE)</f>
        <v>0</v>
      </c>
      <c r="I77" s="925" t="s">
        <v>1744</v>
      </c>
      <c r="J77" s="925" t="s">
        <v>1744</v>
      </c>
      <c r="K77" s="925" t="s">
        <v>1744</v>
      </c>
      <c r="L77" s="925" t="s">
        <v>1744</v>
      </c>
      <c r="M77" s="264"/>
      <c r="N77" s="277"/>
      <c r="O77" s="278"/>
    </row>
    <row r="78" spans="1:15" ht="13.95" customHeight="1" x14ac:dyDescent="0.25">
      <c r="A78" s="169"/>
      <c r="B78" s="273"/>
      <c r="C78" s="378"/>
      <c r="D78" s="941" t="s">
        <v>118</v>
      </c>
      <c r="E78" s="948">
        <f ca="1">VLOOKUP($G78,Data!$K$2:$O$58,5,FALSE)</f>
        <v>1</v>
      </c>
      <c r="F78" s="378"/>
      <c r="G78" s="941" t="s">
        <v>118</v>
      </c>
      <c r="H78" s="948">
        <f ca="1">VLOOKUP($G78,Data!$K$2:$O$58,5,FALSE)</f>
        <v>1</v>
      </c>
      <c r="I78" s="925" t="s">
        <v>1744</v>
      </c>
      <c r="J78" s="925" t="s">
        <v>1744</v>
      </c>
      <c r="K78" s="925" t="s">
        <v>1744</v>
      </c>
      <c r="L78" s="925" t="s">
        <v>1744</v>
      </c>
      <c r="M78" s="264"/>
      <c r="N78" s="277"/>
      <c r="O78" s="278"/>
    </row>
    <row r="79" spans="1:15" ht="13.95" customHeight="1" x14ac:dyDescent="0.25">
      <c r="A79" s="169"/>
      <c r="B79" s="273"/>
      <c r="C79" s="378"/>
      <c r="D79" s="588" t="s">
        <v>158</v>
      </c>
      <c r="E79" s="952" t="e">
        <f ca="1">VLOOKUP($D79,Data!$C$2:$H$370,6,FALSE)</f>
        <v>#VALUE!</v>
      </c>
      <c r="F79" s="378"/>
      <c r="G79" s="588" t="s">
        <v>158</v>
      </c>
      <c r="H79" s="949" t="e">
        <f ca="1">INT(LEFT(
VLOOKUP(RIGHT($G79,LEN($G79)-FIND("-",$G79)), INDIRECT("'"&amp;LEFT($G79,FIND("-",$G79)-1)&amp;"'!"&amp;"$D:$K"), 4,FALSE), 1)
)</f>
        <v>#VALUE!</v>
      </c>
      <c r="I79" s="740" t="str">
        <f ca="1">IF(VLOOKUP(RIGHT($G79,LEN($G79)-FIND("-",$G79)), INDIRECT("'"&amp;LEFT($G79,FIND("-",$G79)-1)&amp;"'!"&amp;"$D:$K"), 5,FALSE) = 0, "",
VLOOKUP(RIGHT($G79,LEN($G79)-FIND("-",$G79)), INDIRECT("'"&amp;LEFT($G79,FIND("-",$G79)-1)&amp;"'!"&amp;"$D:$K"), 5,FALSE) )</f>
        <v/>
      </c>
      <c r="J79" s="740" t="str">
        <f t="shared" ref="J79:J142" ca="1" si="0">IF(VLOOKUP(RIGHT($G79,LEN($G79)-FIND("-",$G79)), INDIRECT("'"&amp;LEFT($G79,FIND("-",$G79)-1)&amp;"'!"&amp;"$D:$K"), 6,FALSE) = 0, "",
VLOOKUP(RIGHT($G79,LEN($G79)-FIND("-",$G79)), INDIRECT("'"&amp;LEFT($G79,FIND("-",$G79)-1)&amp;"'!"&amp;"$D:$K"), 6,FALSE) )</f>
        <v/>
      </c>
      <c r="K79" s="740" t="str">
        <f t="shared" ref="K79:K142" ca="1" si="1">IF(VLOOKUP(RIGHT($G79,LEN($G79)-FIND("-",$G79)), INDIRECT("'"&amp;LEFT($G79,FIND("-",$G79)-1)&amp;"'!"&amp;"$D:$K"), 7,FALSE) = 0, "",
VLOOKUP(RIGHT($G79,LEN($G79)-FIND("-",$G79)), INDIRECT("'"&amp;LEFT($G79,FIND("-",$G79)-1)&amp;"'!"&amp;"$D:$K"), 7,FALSE) )</f>
        <v/>
      </c>
      <c r="L79" s="740" t="str">
        <f t="shared" ref="L79:L142" ca="1" si="2">IF(VLOOKUP(RIGHT($G79,LEN($G79)-FIND("-",$G79)), INDIRECT("'"&amp;LEFT($G79,FIND("-",$G79)-1)&amp;"'!"&amp;"$D:$K"), 8,FALSE) = 0, "",
VLOOKUP(RIGHT($G79,LEN($G79)-FIND("-",$G79)), INDIRECT("'"&amp;LEFT($G79,FIND("-",$G79)-1)&amp;"'!"&amp;"$D:$K"), 8,FALSE) )</f>
        <v/>
      </c>
      <c r="M79" s="264"/>
      <c r="N79" s="277"/>
      <c r="O79" s="278"/>
    </row>
    <row r="80" spans="1:15" ht="13.95" customHeight="1" x14ac:dyDescent="0.25">
      <c r="A80" s="169"/>
      <c r="B80" s="273"/>
      <c r="C80" s="378"/>
      <c r="D80" s="588" t="s">
        <v>160</v>
      </c>
      <c r="E80" s="952" t="e">
        <f ca="1">VLOOKUP($D80,Data!$C$2:$H$370,6,FALSE)</f>
        <v>#VALUE!</v>
      </c>
      <c r="F80" s="378"/>
      <c r="G80" s="588" t="s">
        <v>160</v>
      </c>
      <c r="H80" s="949" t="e">
        <f t="shared" ref="H80:H143" ca="1" si="3">INT(LEFT(
VLOOKUP(RIGHT($G80,LEN($G80)-FIND("-",$G80)), INDIRECT("'"&amp;LEFT($G80,FIND("-",$G80)-1)&amp;"'!"&amp;"$D:$K"), 4,FALSE), 1)
)</f>
        <v>#VALUE!</v>
      </c>
      <c r="I80" s="740" t="str">
        <f t="shared" ref="I80:I142" ca="1" si="4">IF(VLOOKUP(RIGHT($G80,LEN($G80)-FIND("-",$G80)), INDIRECT("'"&amp;LEFT($G80,FIND("-",$G80)-1)&amp;"'!"&amp;"$D:$K"), 5,FALSE) = 0, "",
VLOOKUP(RIGHT($G80,LEN($G80)-FIND("-",$G80)), INDIRECT("'"&amp;LEFT($G80,FIND("-",$G80)-1)&amp;"'!"&amp;"$D:$K"), 5,FALSE) )</f>
        <v/>
      </c>
      <c r="J80" s="740" t="str">
        <f t="shared" ca="1" si="0"/>
        <v/>
      </c>
      <c r="K80" s="740" t="str">
        <f t="shared" ca="1" si="1"/>
        <v/>
      </c>
      <c r="L80" s="740" t="str">
        <f t="shared" ca="1" si="2"/>
        <v/>
      </c>
      <c r="M80" s="264"/>
      <c r="N80" s="277"/>
      <c r="O80" s="278"/>
    </row>
    <row r="81" spans="1:15" ht="13.95" customHeight="1" x14ac:dyDescent="0.25">
      <c r="A81" s="169"/>
      <c r="B81" s="273"/>
      <c r="C81" s="378"/>
      <c r="D81" s="588" t="s">
        <v>161</v>
      </c>
      <c r="E81" s="952" t="e">
        <f ca="1">VLOOKUP($D81,Data!$C$2:$H$370,6,FALSE)</f>
        <v>#VALUE!</v>
      </c>
      <c r="F81" s="378"/>
      <c r="G81" s="588" t="s">
        <v>161</v>
      </c>
      <c r="H81" s="949" t="e">
        <f t="shared" ca="1" si="3"/>
        <v>#VALUE!</v>
      </c>
      <c r="I81" s="740" t="str">
        <f t="shared" ca="1" si="4"/>
        <v/>
      </c>
      <c r="J81" s="740" t="str">
        <f t="shared" ca="1" si="0"/>
        <v/>
      </c>
      <c r="K81" s="740" t="str">
        <f t="shared" ca="1" si="1"/>
        <v/>
      </c>
      <c r="L81" s="740" t="str">
        <f t="shared" ca="1" si="2"/>
        <v/>
      </c>
      <c r="M81" s="264"/>
      <c r="N81" s="277"/>
      <c r="O81" s="278"/>
    </row>
    <row r="82" spans="1:15" ht="13.95" customHeight="1" x14ac:dyDescent="0.25">
      <c r="A82" s="169"/>
      <c r="B82" s="273"/>
      <c r="C82" s="378"/>
      <c r="D82" s="588" t="s">
        <v>162</v>
      </c>
      <c r="E82" s="952" t="e">
        <f ca="1">VLOOKUP($D82,Data!$C$2:$H$370,6,FALSE)</f>
        <v>#VALUE!</v>
      </c>
      <c r="F82" s="378"/>
      <c r="G82" s="588" t="s">
        <v>162</v>
      </c>
      <c r="H82" s="949" t="e">
        <f t="shared" ca="1" si="3"/>
        <v>#VALUE!</v>
      </c>
      <c r="I82" s="740" t="str">
        <f t="shared" ca="1" si="4"/>
        <v/>
      </c>
      <c r="J82" s="740" t="str">
        <f t="shared" ca="1" si="0"/>
        <v/>
      </c>
      <c r="K82" s="740" t="str">
        <f t="shared" ca="1" si="1"/>
        <v/>
      </c>
      <c r="L82" s="740" t="str">
        <f t="shared" ca="1" si="2"/>
        <v/>
      </c>
      <c r="M82" s="264"/>
      <c r="N82" s="277"/>
      <c r="O82" s="278"/>
    </row>
    <row r="83" spans="1:15" ht="13.95" customHeight="1" x14ac:dyDescent="0.25">
      <c r="A83" s="169"/>
      <c r="B83" s="273"/>
      <c r="C83" s="378"/>
      <c r="D83" s="588" t="s">
        <v>163</v>
      </c>
      <c r="E83" s="952" t="e">
        <f ca="1">VLOOKUP($D83,Data!$C$2:$H$370,6,FALSE)</f>
        <v>#VALUE!</v>
      </c>
      <c r="F83" s="378"/>
      <c r="G83" s="588" t="s">
        <v>163</v>
      </c>
      <c r="H83" s="949" t="e">
        <f t="shared" ca="1" si="3"/>
        <v>#VALUE!</v>
      </c>
      <c r="I83" s="740" t="str">
        <f t="shared" ca="1" si="4"/>
        <v/>
      </c>
      <c r="J83" s="740" t="str">
        <f t="shared" ca="1" si="0"/>
        <v/>
      </c>
      <c r="K83" s="740" t="str">
        <f t="shared" ca="1" si="1"/>
        <v/>
      </c>
      <c r="L83" s="740" t="str">
        <f t="shared" ca="1" si="2"/>
        <v/>
      </c>
      <c r="M83" s="264"/>
      <c r="N83" s="277"/>
      <c r="O83" s="278"/>
    </row>
    <row r="84" spans="1:15" ht="13.95" customHeight="1" x14ac:dyDescent="0.25">
      <c r="A84" s="169"/>
      <c r="B84" s="273"/>
      <c r="C84" s="378"/>
      <c r="D84" s="588" t="s">
        <v>164</v>
      </c>
      <c r="E84" s="952" t="e">
        <f ca="1">VLOOKUP($D84,Data!$C$2:$H$370,6,FALSE)</f>
        <v>#VALUE!</v>
      </c>
      <c r="F84" s="378"/>
      <c r="G84" s="588" t="s">
        <v>164</v>
      </c>
      <c r="H84" s="949" t="e">
        <f t="shared" ca="1" si="3"/>
        <v>#VALUE!</v>
      </c>
      <c r="I84" s="740" t="str">
        <f t="shared" ca="1" si="4"/>
        <v/>
      </c>
      <c r="J84" s="740" t="str">
        <f t="shared" ca="1" si="0"/>
        <v/>
      </c>
      <c r="K84" s="740" t="str">
        <f t="shared" ca="1" si="1"/>
        <v/>
      </c>
      <c r="L84" s="740" t="str">
        <f t="shared" ca="1" si="2"/>
        <v/>
      </c>
      <c r="M84" s="264"/>
      <c r="N84" s="277"/>
      <c r="O84" s="278"/>
    </row>
    <row r="85" spans="1:15" ht="13.95" customHeight="1" x14ac:dyDescent="0.25">
      <c r="A85" s="169"/>
      <c r="B85" s="273"/>
      <c r="C85" s="378"/>
      <c r="D85" s="588" t="s">
        <v>166</v>
      </c>
      <c r="E85" s="952" t="e">
        <f ca="1">VLOOKUP($D85,Data!$C$2:$H$370,6,FALSE)</f>
        <v>#VALUE!</v>
      </c>
      <c r="F85" s="378"/>
      <c r="G85" s="588" t="s">
        <v>166</v>
      </c>
      <c r="H85" s="949" t="e">
        <f t="shared" ca="1" si="3"/>
        <v>#VALUE!</v>
      </c>
      <c r="I85" s="740" t="str">
        <f t="shared" ca="1" si="4"/>
        <v/>
      </c>
      <c r="J85" s="740" t="str">
        <f t="shared" ca="1" si="0"/>
        <v/>
      </c>
      <c r="K85" s="740" t="str">
        <f t="shared" ca="1" si="1"/>
        <v/>
      </c>
      <c r="L85" s="740" t="str">
        <f t="shared" ca="1" si="2"/>
        <v/>
      </c>
      <c r="M85" s="264"/>
      <c r="N85" s="277"/>
      <c r="O85" s="278"/>
    </row>
    <row r="86" spans="1:15" ht="13.95" customHeight="1" x14ac:dyDescent="0.25">
      <c r="A86" s="169"/>
      <c r="B86" s="273"/>
      <c r="C86" s="378"/>
      <c r="D86" s="588" t="s">
        <v>167</v>
      </c>
      <c r="E86" s="952" t="e">
        <f ca="1">VLOOKUP($D86,Data!$C$2:$H$370,6,FALSE)</f>
        <v>#VALUE!</v>
      </c>
      <c r="F86" s="378"/>
      <c r="G86" s="588" t="s">
        <v>167</v>
      </c>
      <c r="H86" s="949" t="e">
        <f t="shared" ca="1" si="3"/>
        <v>#VALUE!</v>
      </c>
      <c r="I86" s="740" t="str">
        <f t="shared" ca="1" si="4"/>
        <v/>
      </c>
      <c r="J86" s="740" t="str">
        <f t="shared" ca="1" si="0"/>
        <v/>
      </c>
      <c r="K86" s="740" t="str">
        <f t="shared" ca="1" si="1"/>
        <v/>
      </c>
      <c r="L86" s="740" t="str">
        <f t="shared" ca="1" si="2"/>
        <v/>
      </c>
      <c r="M86" s="264"/>
      <c r="N86" s="277"/>
      <c r="O86" s="278"/>
    </row>
    <row r="87" spans="1:15" ht="13.95" customHeight="1" x14ac:dyDescent="0.25">
      <c r="A87" s="169"/>
      <c r="B87" s="273"/>
      <c r="C87" s="378"/>
      <c r="D87" s="588" t="s">
        <v>168</v>
      </c>
      <c r="E87" s="952" t="e">
        <f ca="1">VLOOKUP($D87,Data!$C$2:$H$370,6,FALSE)</f>
        <v>#VALUE!</v>
      </c>
      <c r="F87" s="378"/>
      <c r="G87" s="588" t="s">
        <v>168</v>
      </c>
      <c r="H87" s="949" t="e">
        <f t="shared" ca="1" si="3"/>
        <v>#VALUE!</v>
      </c>
      <c r="I87" s="740" t="str">
        <f t="shared" ca="1" si="4"/>
        <v/>
      </c>
      <c r="J87" s="740" t="str">
        <f t="shared" ca="1" si="0"/>
        <v/>
      </c>
      <c r="K87" s="740" t="str">
        <f t="shared" ca="1" si="1"/>
        <v/>
      </c>
      <c r="L87" s="740" t="str">
        <f t="shared" ca="1" si="2"/>
        <v/>
      </c>
      <c r="M87" s="264"/>
      <c r="N87" s="277"/>
      <c r="O87" s="278"/>
    </row>
    <row r="88" spans="1:15" ht="13.95" customHeight="1" x14ac:dyDescent="0.25">
      <c r="A88" s="169"/>
      <c r="B88" s="273"/>
      <c r="C88" s="378"/>
      <c r="D88" s="588" t="s">
        <v>169</v>
      </c>
      <c r="E88" s="952" t="e">
        <f ca="1">VLOOKUP($D88,Data!$C$2:$H$370,6,FALSE)</f>
        <v>#VALUE!</v>
      </c>
      <c r="F88" s="378"/>
      <c r="G88" s="588" t="s">
        <v>169</v>
      </c>
      <c r="H88" s="949" t="e">
        <f t="shared" ca="1" si="3"/>
        <v>#VALUE!</v>
      </c>
      <c r="I88" s="740" t="str">
        <f t="shared" ca="1" si="4"/>
        <v/>
      </c>
      <c r="J88" s="740" t="str">
        <f t="shared" ca="1" si="0"/>
        <v/>
      </c>
      <c r="K88" s="740" t="str">
        <f t="shared" ca="1" si="1"/>
        <v/>
      </c>
      <c r="L88" s="740" t="str">
        <f t="shared" ca="1" si="2"/>
        <v/>
      </c>
      <c r="M88" s="264"/>
      <c r="N88" s="277"/>
      <c r="O88" s="278"/>
    </row>
    <row r="89" spans="1:15" ht="13.95" customHeight="1" x14ac:dyDescent="0.25">
      <c r="A89" s="169"/>
      <c r="B89" s="273"/>
      <c r="C89" s="378"/>
      <c r="D89" s="588" t="s">
        <v>170</v>
      </c>
      <c r="E89" s="952" t="e">
        <f ca="1">VLOOKUP($D89,Data!$C$2:$H$370,6,FALSE)</f>
        <v>#VALUE!</v>
      </c>
      <c r="F89" s="378"/>
      <c r="G89" s="588" t="s">
        <v>170</v>
      </c>
      <c r="H89" s="949" t="e">
        <f t="shared" ca="1" si="3"/>
        <v>#VALUE!</v>
      </c>
      <c r="I89" s="740" t="str">
        <f t="shared" ca="1" si="4"/>
        <v/>
      </c>
      <c r="J89" s="740" t="str">
        <f t="shared" ca="1" si="0"/>
        <v/>
      </c>
      <c r="K89" s="740" t="str">
        <f t="shared" ca="1" si="1"/>
        <v/>
      </c>
      <c r="L89" s="740" t="str">
        <f t="shared" ca="1" si="2"/>
        <v/>
      </c>
      <c r="M89" s="264"/>
      <c r="N89" s="277"/>
      <c r="O89" s="278"/>
    </row>
    <row r="90" spans="1:15" ht="13.95" customHeight="1" x14ac:dyDescent="0.25">
      <c r="A90" s="169"/>
      <c r="B90" s="273"/>
      <c r="C90" s="378"/>
      <c r="D90" s="588" t="s">
        <v>171</v>
      </c>
      <c r="E90" s="952" t="e">
        <f ca="1">VLOOKUP($D90,Data!$C$2:$H$370,6,FALSE)</f>
        <v>#VALUE!</v>
      </c>
      <c r="F90" s="378"/>
      <c r="G90" s="588" t="s">
        <v>171</v>
      </c>
      <c r="H90" s="949" t="e">
        <f t="shared" ca="1" si="3"/>
        <v>#VALUE!</v>
      </c>
      <c r="I90" s="740" t="str">
        <f t="shared" ca="1" si="4"/>
        <v/>
      </c>
      <c r="J90" s="740" t="str">
        <f t="shared" ca="1" si="0"/>
        <v/>
      </c>
      <c r="K90" s="740" t="str">
        <f t="shared" ca="1" si="1"/>
        <v/>
      </c>
      <c r="L90" s="740" t="str">
        <f t="shared" ca="1" si="2"/>
        <v/>
      </c>
      <c r="M90" s="264"/>
      <c r="N90" s="277"/>
      <c r="O90" s="278"/>
    </row>
    <row r="91" spans="1:15" ht="13.95" customHeight="1" x14ac:dyDescent="0.25">
      <c r="A91" s="169"/>
      <c r="B91" s="273"/>
      <c r="C91" s="378"/>
      <c r="D91" s="588" t="s">
        <v>172</v>
      </c>
      <c r="E91" s="952" t="e">
        <f ca="1">VLOOKUP($D91,Data!$C$2:$H$370,6,FALSE)</f>
        <v>#VALUE!</v>
      </c>
      <c r="F91" s="378"/>
      <c r="G91" s="588" t="s">
        <v>172</v>
      </c>
      <c r="H91" s="949" t="e">
        <f t="shared" ca="1" si="3"/>
        <v>#VALUE!</v>
      </c>
      <c r="I91" s="740" t="str">
        <f t="shared" ca="1" si="4"/>
        <v/>
      </c>
      <c r="J91" s="740" t="str">
        <f t="shared" ca="1" si="0"/>
        <v/>
      </c>
      <c r="K91" s="740" t="str">
        <f t="shared" ca="1" si="1"/>
        <v/>
      </c>
      <c r="L91" s="740" t="str">
        <f t="shared" ca="1" si="2"/>
        <v/>
      </c>
      <c r="M91" s="264"/>
      <c r="N91" s="277"/>
      <c r="O91" s="278"/>
    </row>
    <row r="92" spans="1:15" ht="13.95" customHeight="1" x14ac:dyDescent="0.25">
      <c r="A92" s="169"/>
      <c r="B92" s="273"/>
      <c r="C92" s="378"/>
      <c r="D92" s="588" t="s">
        <v>174</v>
      </c>
      <c r="E92" s="952" t="e">
        <f ca="1">VLOOKUP($D92,Data!$C$2:$H$370,6,FALSE)</f>
        <v>#VALUE!</v>
      </c>
      <c r="F92" s="378"/>
      <c r="G92" s="588" t="s">
        <v>174</v>
      </c>
      <c r="H92" s="949" t="e">
        <f t="shared" ca="1" si="3"/>
        <v>#VALUE!</v>
      </c>
      <c r="I92" s="740" t="str">
        <f t="shared" ca="1" si="4"/>
        <v/>
      </c>
      <c r="J92" s="740" t="str">
        <f t="shared" ca="1" si="0"/>
        <v/>
      </c>
      <c r="K92" s="740" t="str">
        <f t="shared" ca="1" si="1"/>
        <v/>
      </c>
      <c r="L92" s="740" t="str">
        <f t="shared" ca="1" si="2"/>
        <v/>
      </c>
      <c r="M92" s="264"/>
      <c r="N92" s="277"/>
      <c r="O92" s="278"/>
    </row>
    <row r="93" spans="1:15" ht="13.95" customHeight="1" x14ac:dyDescent="0.25">
      <c r="A93" s="169"/>
      <c r="B93" s="273"/>
      <c r="C93" s="378"/>
      <c r="D93" s="588" t="s">
        <v>1050</v>
      </c>
      <c r="E93" s="952" t="e">
        <f ca="1">VLOOKUP($D93,Data!$C$2:$H$370,6,FALSE)</f>
        <v>#VALUE!</v>
      </c>
      <c r="F93" s="378"/>
      <c r="G93" s="588" t="s">
        <v>1050</v>
      </c>
      <c r="H93" s="949" t="e">
        <f t="shared" ca="1" si="3"/>
        <v>#VALUE!</v>
      </c>
      <c r="I93" s="740" t="str">
        <f t="shared" ca="1" si="4"/>
        <v/>
      </c>
      <c r="J93" s="740" t="str">
        <f t="shared" ca="1" si="0"/>
        <v/>
      </c>
      <c r="K93" s="740" t="str">
        <f t="shared" ca="1" si="1"/>
        <v/>
      </c>
      <c r="L93" s="740" t="str">
        <f t="shared" ca="1" si="2"/>
        <v/>
      </c>
      <c r="M93" s="264"/>
      <c r="N93" s="277"/>
      <c r="O93" s="278"/>
    </row>
    <row r="94" spans="1:15" ht="13.95" customHeight="1" x14ac:dyDescent="0.25">
      <c r="A94" s="169"/>
      <c r="B94" s="273"/>
      <c r="C94" s="378"/>
      <c r="D94" s="588" t="s">
        <v>176</v>
      </c>
      <c r="E94" s="952" t="e">
        <f ca="1">VLOOKUP($D94,Data!$C$2:$H$370,6,FALSE)</f>
        <v>#VALUE!</v>
      </c>
      <c r="F94" s="378"/>
      <c r="G94" s="588" t="s">
        <v>176</v>
      </c>
      <c r="H94" s="949" t="e">
        <f t="shared" ca="1" si="3"/>
        <v>#VALUE!</v>
      </c>
      <c r="I94" s="740" t="str">
        <f t="shared" ca="1" si="4"/>
        <v/>
      </c>
      <c r="J94" s="740" t="str">
        <f t="shared" ca="1" si="0"/>
        <v/>
      </c>
      <c r="K94" s="740" t="str">
        <f t="shared" ca="1" si="1"/>
        <v/>
      </c>
      <c r="L94" s="740" t="str">
        <f t="shared" ca="1" si="2"/>
        <v/>
      </c>
      <c r="M94" s="264"/>
      <c r="N94" s="277"/>
      <c r="O94" s="278"/>
    </row>
    <row r="95" spans="1:15" ht="13.95" customHeight="1" x14ac:dyDescent="0.25">
      <c r="A95" s="169"/>
      <c r="B95" s="273"/>
      <c r="C95" s="378"/>
      <c r="D95" s="588" t="s">
        <v>177</v>
      </c>
      <c r="E95" s="952" t="e">
        <f ca="1">VLOOKUP($D95,Data!$C$2:$H$370,6,FALSE)</f>
        <v>#VALUE!</v>
      </c>
      <c r="F95" s="378"/>
      <c r="G95" s="588" t="s">
        <v>177</v>
      </c>
      <c r="H95" s="949" t="e">
        <f t="shared" ca="1" si="3"/>
        <v>#VALUE!</v>
      </c>
      <c r="I95" s="740" t="str">
        <f t="shared" ca="1" si="4"/>
        <v/>
      </c>
      <c r="J95" s="740" t="str">
        <f t="shared" ca="1" si="0"/>
        <v/>
      </c>
      <c r="K95" s="740" t="str">
        <f t="shared" ca="1" si="1"/>
        <v/>
      </c>
      <c r="L95" s="740" t="str">
        <f t="shared" ca="1" si="2"/>
        <v/>
      </c>
      <c r="M95" s="264"/>
      <c r="N95" s="277"/>
      <c r="O95" s="278"/>
    </row>
    <row r="96" spans="1:15" ht="13.95" customHeight="1" x14ac:dyDescent="0.25">
      <c r="A96" s="169"/>
      <c r="B96" s="273"/>
      <c r="C96" s="378"/>
      <c r="D96" s="588" t="s">
        <v>178</v>
      </c>
      <c r="E96" s="952" t="e">
        <f ca="1">VLOOKUP($D96,Data!$C$2:$H$370,6,FALSE)</f>
        <v>#VALUE!</v>
      </c>
      <c r="F96" s="378"/>
      <c r="G96" s="588" t="s">
        <v>178</v>
      </c>
      <c r="H96" s="949" t="e">
        <f t="shared" ca="1" si="3"/>
        <v>#VALUE!</v>
      </c>
      <c r="I96" s="740" t="str">
        <f t="shared" ca="1" si="4"/>
        <v/>
      </c>
      <c r="J96" s="740" t="str">
        <f t="shared" ca="1" si="0"/>
        <v/>
      </c>
      <c r="K96" s="740" t="str">
        <f t="shared" ca="1" si="1"/>
        <v/>
      </c>
      <c r="L96" s="740" t="str">
        <f t="shared" ca="1" si="2"/>
        <v/>
      </c>
      <c r="M96" s="264"/>
      <c r="N96" s="277"/>
      <c r="O96" s="278"/>
    </row>
    <row r="97" spans="1:15" ht="13.95" customHeight="1" x14ac:dyDescent="0.25">
      <c r="A97" s="169"/>
      <c r="B97" s="273"/>
      <c r="C97" s="378"/>
      <c r="D97" s="588" t="s">
        <v>179</v>
      </c>
      <c r="E97" s="952" t="e">
        <f ca="1">VLOOKUP($D97,Data!$C$2:$H$370,6,FALSE)</f>
        <v>#VALUE!</v>
      </c>
      <c r="F97" s="378"/>
      <c r="G97" s="588" t="s">
        <v>179</v>
      </c>
      <c r="H97" s="949" t="e">
        <f t="shared" ca="1" si="3"/>
        <v>#VALUE!</v>
      </c>
      <c r="I97" s="740" t="str">
        <f t="shared" ca="1" si="4"/>
        <v/>
      </c>
      <c r="J97" s="740" t="str">
        <f t="shared" ca="1" si="0"/>
        <v/>
      </c>
      <c r="K97" s="740" t="str">
        <f t="shared" ca="1" si="1"/>
        <v/>
      </c>
      <c r="L97" s="740" t="str">
        <f t="shared" ca="1" si="2"/>
        <v/>
      </c>
      <c r="M97" s="264"/>
      <c r="N97" s="277"/>
      <c r="O97" s="278"/>
    </row>
    <row r="98" spans="1:15" ht="13.95" customHeight="1" x14ac:dyDescent="0.25">
      <c r="A98" s="169"/>
      <c r="B98" s="273"/>
      <c r="C98" s="378"/>
      <c r="D98" s="588" t="s">
        <v>180</v>
      </c>
      <c r="E98" s="952" t="e">
        <f ca="1">VLOOKUP($D98,Data!$C$2:$H$370,6,FALSE)</f>
        <v>#VALUE!</v>
      </c>
      <c r="F98" s="378"/>
      <c r="G98" s="588" t="s">
        <v>180</v>
      </c>
      <c r="H98" s="949" t="e">
        <f t="shared" ca="1" si="3"/>
        <v>#VALUE!</v>
      </c>
      <c r="I98" s="740" t="str">
        <f t="shared" ca="1" si="4"/>
        <v/>
      </c>
      <c r="J98" s="740" t="str">
        <f t="shared" ca="1" si="0"/>
        <v/>
      </c>
      <c r="K98" s="740" t="str">
        <f t="shared" ca="1" si="1"/>
        <v/>
      </c>
      <c r="L98" s="740" t="str">
        <f t="shared" ca="1" si="2"/>
        <v/>
      </c>
      <c r="M98" s="264"/>
      <c r="N98" s="277"/>
      <c r="O98" s="278"/>
    </row>
    <row r="99" spans="1:15" ht="13.95" customHeight="1" x14ac:dyDescent="0.25">
      <c r="A99" s="169"/>
      <c r="B99" s="273"/>
      <c r="C99" s="378"/>
      <c r="D99" s="588" t="s">
        <v>181</v>
      </c>
      <c r="E99" s="952" t="e">
        <f ca="1">VLOOKUP($D99,Data!$C$2:$H$370,6,FALSE)</f>
        <v>#VALUE!</v>
      </c>
      <c r="F99" s="378"/>
      <c r="G99" s="588" t="s">
        <v>181</v>
      </c>
      <c r="H99" s="949" t="e">
        <f t="shared" ca="1" si="3"/>
        <v>#VALUE!</v>
      </c>
      <c r="I99" s="740" t="str">
        <f t="shared" ca="1" si="4"/>
        <v/>
      </c>
      <c r="J99" s="740" t="str">
        <f t="shared" ca="1" si="0"/>
        <v/>
      </c>
      <c r="K99" s="740" t="str">
        <f t="shared" ca="1" si="1"/>
        <v/>
      </c>
      <c r="L99" s="740" t="str">
        <f t="shared" ca="1" si="2"/>
        <v/>
      </c>
      <c r="M99" s="264"/>
      <c r="N99" s="277"/>
      <c r="O99" s="278"/>
    </row>
    <row r="100" spans="1:15" ht="13.95" customHeight="1" x14ac:dyDescent="0.25">
      <c r="A100" s="169"/>
      <c r="B100" s="273"/>
      <c r="C100" s="378"/>
      <c r="D100" s="588" t="s">
        <v>182</v>
      </c>
      <c r="E100" s="952" t="e">
        <f ca="1">VLOOKUP($D100,Data!$C$2:$H$370,6,FALSE)</f>
        <v>#VALUE!</v>
      </c>
      <c r="F100" s="378"/>
      <c r="G100" s="588" t="s">
        <v>182</v>
      </c>
      <c r="H100" s="949" t="e">
        <f t="shared" ca="1" si="3"/>
        <v>#VALUE!</v>
      </c>
      <c r="I100" s="740" t="str">
        <f t="shared" ca="1" si="4"/>
        <v/>
      </c>
      <c r="J100" s="740" t="str">
        <f t="shared" ca="1" si="0"/>
        <v/>
      </c>
      <c r="K100" s="740" t="str">
        <f t="shared" ca="1" si="1"/>
        <v/>
      </c>
      <c r="L100" s="740" t="str">
        <f t="shared" ca="1" si="2"/>
        <v/>
      </c>
      <c r="M100" s="264"/>
      <c r="N100" s="277"/>
      <c r="O100" s="278"/>
    </row>
    <row r="101" spans="1:15" ht="13.95" customHeight="1" x14ac:dyDescent="0.25">
      <c r="A101" s="169"/>
      <c r="B101" s="273"/>
      <c r="C101" s="378"/>
      <c r="D101" s="588" t="s">
        <v>1051</v>
      </c>
      <c r="E101" s="952" t="e">
        <f ca="1">VLOOKUP($D101,Data!$C$2:$H$370,6,FALSE)</f>
        <v>#VALUE!</v>
      </c>
      <c r="F101" s="378"/>
      <c r="G101" s="588" t="s">
        <v>1051</v>
      </c>
      <c r="H101" s="949" t="e">
        <f t="shared" ca="1" si="3"/>
        <v>#VALUE!</v>
      </c>
      <c r="I101" s="740" t="str">
        <f t="shared" ca="1" si="4"/>
        <v/>
      </c>
      <c r="J101" s="740" t="str">
        <f t="shared" ca="1" si="0"/>
        <v/>
      </c>
      <c r="K101" s="740" t="str">
        <f t="shared" ca="1" si="1"/>
        <v/>
      </c>
      <c r="L101" s="740" t="str">
        <f t="shared" ca="1" si="2"/>
        <v/>
      </c>
      <c r="M101" s="264"/>
      <c r="N101" s="277"/>
      <c r="O101" s="278"/>
    </row>
    <row r="102" spans="1:15" ht="13.95" customHeight="1" x14ac:dyDescent="0.25">
      <c r="A102" s="169"/>
      <c r="B102" s="273"/>
      <c r="C102" s="378"/>
      <c r="D102" s="588" t="s">
        <v>1052</v>
      </c>
      <c r="E102" s="952" t="e">
        <f ca="1">VLOOKUP($D102,Data!$C$2:$H$370,6,FALSE)</f>
        <v>#VALUE!</v>
      </c>
      <c r="F102" s="378"/>
      <c r="G102" s="588" t="s">
        <v>1052</v>
      </c>
      <c r="H102" s="949" t="e">
        <f t="shared" ca="1" si="3"/>
        <v>#VALUE!</v>
      </c>
      <c r="I102" s="740" t="str">
        <f t="shared" ca="1" si="4"/>
        <v/>
      </c>
      <c r="J102" s="740" t="str">
        <f t="shared" ca="1" si="0"/>
        <v/>
      </c>
      <c r="K102" s="740" t="str">
        <f t="shared" ca="1" si="1"/>
        <v/>
      </c>
      <c r="L102" s="740" t="str">
        <f t="shared" ca="1" si="2"/>
        <v/>
      </c>
      <c r="M102" s="264"/>
      <c r="N102" s="277"/>
      <c r="O102" s="278"/>
    </row>
    <row r="103" spans="1:15" ht="13.95" customHeight="1" x14ac:dyDescent="0.25">
      <c r="A103" s="169"/>
      <c r="B103" s="273"/>
      <c r="C103" s="378"/>
      <c r="D103" s="588" t="s">
        <v>1053</v>
      </c>
      <c r="E103" s="952" t="e">
        <f ca="1">VLOOKUP($D103,Data!$C$2:$H$370,6,FALSE)</f>
        <v>#VALUE!</v>
      </c>
      <c r="F103" s="378"/>
      <c r="G103" s="588" t="s">
        <v>1053</v>
      </c>
      <c r="H103" s="949" t="e">
        <f t="shared" ca="1" si="3"/>
        <v>#VALUE!</v>
      </c>
      <c r="I103" s="740" t="str">
        <f t="shared" ca="1" si="4"/>
        <v/>
      </c>
      <c r="J103" s="740" t="str">
        <f t="shared" ca="1" si="0"/>
        <v/>
      </c>
      <c r="K103" s="740" t="str">
        <f t="shared" ca="1" si="1"/>
        <v/>
      </c>
      <c r="L103" s="740" t="str">
        <f t="shared" ca="1" si="2"/>
        <v/>
      </c>
      <c r="M103" s="264"/>
      <c r="N103" s="277"/>
      <c r="O103" s="278"/>
    </row>
    <row r="104" spans="1:15" ht="13.95" customHeight="1" x14ac:dyDescent="0.25">
      <c r="A104" s="169"/>
      <c r="B104" s="273"/>
      <c r="C104" s="378"/>
      <c r="D104" s="588" t="s">
        <v>1054</v>
      </c>
      <c r="E104" s="952" t="e">
        <f ca="1">VLOOKUP($D104,Data!$C$2:$H$370,6,FALSE)</f>
        <v>#VALUE!</v>
      </c>
      <c r="F104" s="378"/>
      <c r="G104" s="588" t="s">
        <v>1054</v>
      </c>
      <c r="H104" s="949" t="e">
        <f t="shared" ca="1" si="3"/>
        <v>#VALUE!</v>
      </c>
      <c r="I104" s="740" t="str">
        <f t="shared" ca="1" si="4"/>
        <v/>
      </c>
      <c r="J104" s="740" t="str">
        <f t="shared" ca="1" si="0"/>
        <v/>
      </c>
      <c r="K104" s="740" t="str">
        <f t="shared" ca="1" si="1"/>
        <v/>
      </c>
      <c r="L104" s="740" t="str">
        <f t="shared" ca="1" si="2"/>
        <v/>
      </c>
      <c r="M104" s="264"/>
      <c r="N104" s="277"/>
      <c r="O104" s="278"/>
    </row>
    <row r="105" spans="1:15" ht="13.95" customHeight="1" x14ac:dyDescent="0.25">
      <c r="A105" s="169"/>
      <c r="B105" s="273"/>
      <c r="C105" s="378"/>
      <c r="D105" s="588" t="s">
        <v>1055</v>
      </c>
      <c r="E105" s="952" t="e">
        <f ca="1">VLOOKUP($D105,Data!$C$2:$H$370,6,FALSE)</f>
        <v>#VALUE!</v>
      </c>
      <c r="F105" s="378"/>
      <c r="G105" s="588" t="s">
        <v>1055</v>
      </c>
      <c r="H105" s="949" t="e">
        <f t="shared" ca="1" si="3"/>
        <v>#VALUE!</v>
      </c>
      <c r="I105" s="740" t="str">
        <f t="shared" ca="1" si="4"/>
        <v/>
      </c>
      <c r="J105" s="740" t="str">
        <f t="shared" ca="1" si="0"/>
        <v/>
      </c>
      <c r="K105" s="740" t="str">
        <f t="shared" ca="1" si="1"/>
        <v/>
      </c>
      <c r="L105" s="740" t="str">
        <f t="shared" ca="1" si="2"/>
        <v/>
      </c>
      <c r="M105" s="264"/>
      <c r="N105" s="277"/>
      <c r="O105" s="278"/>
    </row>
    <row r="106" spans="1:15" ht="13.95" customHeight="1" x14ac:dyDescent="0.25">
      <c r="A106" s="169"/>
      <c r="B106" s="273"/>
      <c r="C106" s="378"/>
      <c r="D106" s="588" t="s">
        <v>1056</v>
      </c>
      <c r="E106" s="952" t="e">
        <f ca="1">VLOOKUP($D106,Data!$C$2:$H$370,6,FALSE)</f>
        <v>#VALUE!</v>
      </c>
      <c r="F106" s="378"/>
      <c r="G106" s="588" t="s">
        <v>1056</v>
      </c>
      <c r="H106" s="949" t="e">
        <f t="shared" ca="1" si="3"/>
        <v>#VALUE!</v>
      </c>
      <c r="I106" s="740" t="str">
        <f t="shared" ca="1" si="4"/>
        <v/>
      </c>
      <c r="J106" s="740" t="str">
        <f t="shared" ca="1" si="0"/>
        <v/>
      </c>
      <c r="K106" s="740" t="str">
        <f t="shared" ca="1" si="1"/>
        <v/>
      </c>
      <c r="L106" s="740" t="str">
        <f t="shared" ca="1" si="2"/>
        <v/>
      </c>
      <c r="M106" s="264"/>
      <c r="N106" s="277"/>
      <c r="O106" s="278"/>
    </row>
    <row r="107" spans="1:15" ht="13.95" customHeight="1" x14ac:dyDescent="0.25">
      <c r="A107" s="169"/>
      <c r="B107" s="273"/>
      <c r="C107" s="378"/>
      <c r="D107" s="588" t="s">
        <v>1057</v>
      </c>
      <c r="E107" s="952" t="e">
        <f ca="1">VLOOKUP($D107,Data!$C$2:$H$370,6,FALSE)</f>
        <v>#VALUE!</v>
      </c>
      <c r="F107" s="378"/>
      <c r="G107" s="588" t="s">
        <v>1057</v>
      </c>
      <c r="H107" s="949" t="e">
        <f t="shared" ca="1" si="3"/>
        <v>#VALUE!</v>
      </c>
      <c r="I107" s="740" t="str">
        <f t="shared" ca="1" si="4"/>
        <v/>
      </c>
      <c r="J107" s="740" t="str">
        <f t="shared" ca="1" si="0"/>
        <v/>
      </c>
      <c r="K107" s="740" t="str">
        <f t="shared" ca="1" si="1"/>
        <v/>
      </c>
      <c r="L107" s="740" t="str">
        <f t="shared" ca="1" si="2"/>
        <v/>
      </c>
      <c r="M107" s="264"/>
      <c r="N107" s="277"/>
      <c r="O107" s="278"/>
    </row>
    <row r="108" spans="1:15" ht="13.95" customHeight="1" x14ac:dyDescent="0.25">
      <c r="A108" s="169"/>
      <c r="B108" s="273"/>
      <c r="C108" s="378"/>
      <c r="D108" s="588" t="s">
        <v>1058</v>
      </c>
      <c r="E108" s="952" t="e">
        <f ca="1">VLOOKUP($D108,Data!$C$2:$H$370,6,FALSE)</f>
        <v>#VALUE!</v>
      </c>
      <c r="F108" s="378"/>
      <c r="G108" s="588" t="s">
        <v>1058</v>
      </c>
      <c r="H108" s="949" t="e">
        <f t="shared" ca="1" si="3"/>
        <v>#VALUE!</v>
      </c>
      <c r="I108" s="740" t="str">
        <f t="shared" ca="1" si="4"/>
        <v/>
      </c>
      <c r="J108" s="740" t="str">
        <f t="shared" ca="1" si="0"/>
        <v/>
      </c>
      <c r="K108" s="740" t="str">
        <f t="shared" ca="1" si="1"/>
        <v/>
      </c>
      <c r="L108" s="740" t="str">
        <f t="shared" ca="1" si="2"/>
        <v/>
      </c>
      <c r="M108" s="264"/>
      <c r="N108" s="277"/>
      <c r="O108" s="278"/>
    </row>
    <row r="109" spans="1:15" ht="13.95" customHeight="1" x14ac:dyDescent="0.25">
      <c r="A109" s="169"/>
      <c r="B109" s="273"/>
      <c r="C109" s="378"/>
      <c r="D109" s="588" t="s">
        <v>345</v>
      </c>
      <c r="E109" s="952" t="e">
        <f ca="1">VLOOKUP($D109,Data!$C$2:$H$370,6,FALSE)</f>
        <v>#VALUE!</v>
      </c>
      <c r="F109" s="378"/>
      <c r="G109" s="588" t="s">
        <v>345</v>
      </c>
      <c r="H109" s="949" t="e">
        <f t="shared" ca="1" si="3"/>
        <v>#VALUE!</v>
      </c>
      <c r="I109" s="740" t="str">
        <f t="shared" ca="1" si="4"/>
        <v/>
      </c>
      <c r="J109" s="740" t="str">
        <f t="shared" ca="1" si="0"/>
        <v/>
      </c>
      <c r="K109" s="740" t="str">
        <f t="shared" ca="1" si="1"/>
        <v/>
      </c>
      <c r="L109" s="740" t="str">
        <f t="shared" ca="1" si="2"/>
        <v/>
      </c>
      <c r="M109" s="264"/>
      <c r="N109" s="277"/>
      <c r="O109" s="278"/>
    </row>
    <row r="110" spans="1:15" ht="13.95" customHeight="1" x14ac:dyDescent="0.25">
      <c r="A110" s="169"/>
      <c r="B110" s="273"/>
      <c r="C110" s="378"/>
      <c r="D110" s="588" t="s">
        <v>346</v>
      </c>
      <c r="E110" s="952" t="e">
        <f ca="1">VLOOKUP($D110,Data!$C$2:$H$370,6,FALSE)</f>
        <v>#VALUE!</v>
      </c>
      <c r="F110" s="378"/>
      <c r="G110" s="588" t="s">
        <v>346</v>
      </c>
      <c r="H110" s="949" t="e">
        <f t="shared" ca="1" si="3"/>
        <v>#VALUE!</v>
      </c>
      <c r="I110" s="740" t="str">
        <f t="shared" ca="1" si="4"/>
        <v/>
      </c>
      <c r="J110" s="740" t="str">
        <f t="shared" ca="1" si="0"/>
        <v/>
      </c>
      <c r="K110" s="740" t="str">
        <f t="shared" ca="1" si="1"/>
        <v/>
      </c>
      <c r="L110" s="740" t="str">
        <f t="shared" ca="1" si="2"/>
        <v/>
      </c>
      <c r="M110" s="264"/>
      <c r="N110" s="277"/>
      <c r="O110" s="278"/>
    </row>
    <row r="111" spans="1:15" ht="13.95" customHeight="1" x14ac:dyDescent="0.25">
      <c r="A111" s="169"/>
      <c r="B111" s="273"/>
      <c r="C111" s="378"/>
      <c r="D111" s="588" t="s">
        <v>347</v>
      </c>
      <c r="E111" s="952" t="e">
        <f ca="1">VLOOKUP($D111,Data!$C$2:$H$370,6,FALSE)</f>
        <v>#VALUE!</v>
      </c>
      <c r="F111" s="378"/>
      <c r="G111" s="588" t="s">
        <v>347</v>
      </c>
      <c r="H111" s="949" t="e">
        <f t="shared" ca="1" si="3"/>
        <v>#VALUE!</v>
      </c>
      <c r="I111" s="740" t="str">
        <f t="shared" ca="1" si="4"/>
        <v/>
      </c>
      <c r="J111" s="740" t="str">
        <f t="shared" ca="1" si="0"/>
        <v/>
      </c>
      <c r="K111" s="740" t="str">
        <f t="shared" ca="1" si="1"/>
        <v/>
      </c>
      <c r="L111" s="740" t="str">
        <f t="shared" ca="1" si="2"/>
        <v/>
      </c>
      <c r="M111" s="264"/>
      <c r="N111" s="277"/>
      <c r="O111" s="278"/>
    </row>
    <row r="112" spans="1:15" ht="13.95" customHeight="1" x14ac:dyDescent="0.25">
      <c r="A112" s="169"/>
      <c r="B112" s="273"/>
      <c r="C112" s="378"/>
      <c r="D112" s="588" t="s">
        <v>348</v>
      </c>
      <c r="E112" s="952" t="e">
        <f ca="1">VLOOKUP($D112,Data!$C$2:$H$370,6,FALSE)</f>
        <v>#VALUE!</v>
      </c>
      <c r="F112" s="378"/>
      <c r="G112" s="588" t="s">
        <v>348</v>
      </c>
      <c r="H112" s="949" t="e">
        <f t="shared" ca="1" si="3"/>
        <v>#VALUE!</v>
      </c>
      <c r="I112" s="740" t="str">
        <f t="shared" ca="1" si="4"/>
        <v/>
      </c>
      <c r="J112" s="740" t="str">
        <f t="shared" ca="1" si="0"/>
        <v/>
      </c>
      <c r="K112" s="740" t="str">
        <f t="shared" ca="1" si="1"/>
        <v/>
      </c>
      <c r="L112" s="740" t="str">
        <f t="shared" ca="1" si="2"/>
        <v/>
      </c>
      <c r="M112" s="264"/>
      <c r="N112" s="277"/>
      <c r="O112" s="278"/>
    </row>
    <row r="113" spans="1:15" ht="13.95" customHeight="1" x14ac:dyDescent="0.25">
      <c r="A113" s="169"/>
      <c r="B113" s="273"/>
      <c r="C113" s="378"/>
      <c r="D113" s="588" t="s">
        <v>349</v>
      </c>
      <c r="E113" s="952" t="e">
        <f ca="1">VLOOKUP($D113,Data!$C$2:$H$370,6,FALSE)</f>
        <v>#VALUE!</v>
      </c>
      <c r="F113" s="378"/>
      <c r="G113" s="588" t="s">
        <v>349</v>
      </c>
      <c r="H113" s="949" t="e">
        <f t="shared" ca="1" si="3"/>
        <v>#VALUE!</v>
      </c>
      <c r="I113" s="740" t="str">
        <f t="shared" ca="1" si="4"/>
        <v/>
      </c>
      <c r="J113" s="740" t="str">
        <f t="shared" ca="1" si="0"/>
        <v/>
      </c>
      <c r="K113" s="740" t="str">
        <f t="shared" ca="1" si="1"/>
        <v/>
      </c>
      <c r="L113" s="740" t="str">
        <f t="shared" ca="1" si="2"/>
        <v/>
      </c>
      <c r="M113" s="264"/>
      <c r="N113" s="277"/>
      <c r="O113" s="278"/>
    </row>
    <row r="114" spans="1:15" ht="13.95" customHeight="1" x14ac:dyDescent="0.25">
      <c r="A114" s="169"/>
      <c r="B114" s="273"/>
      <c r="C114" s="378"/>
      <c r="D114" s="588" t="s">
        <v>350</v>
      </c>
      <c r="E114" s="952" t="e">
        <f ca="1">VLOOKUP($D114,Data!$C$2:$H$370,6,FALSE)</f>
        <v>#VALUE!</v>
      </c>
      <c r="F114" s="378"/>
      <c r="G114" s="588" t="s">
        <v>350</v>
      </c>
      <c r="H114" s="949" t="e">
        <f t="shared" ca="1" si="3"/>
        <v>#VALUE!</v>
      </c>
      <c r="I114" s="740" t="str">
        <f t="shared" ca="1" si="4"/>
        <v/>
      </c>
      <c r="J114" s="740" t="str">
        <f t="shared" ca="1" si="0"/>
        <v/>
      </c>
      <c r="K114" s="740" t="str">
        <f t="shared" ca="1" si="1"/>
        <v/>
      </c>
      <c r="L114" s="740" t="str">
        <f t="shared" ca="1" si="2"/>
        <v/>
      </c>
      <c r="M114" s="264"/>
      <c r="N114" s="277"/>
      <c r="O114" s="278"/>
    </row>
    <row r="115" spans="1:15" ht="13.95" customHeight="1" x14ac:dyDescent="0.25">
      <c r="A115" s="169"/>
      <c r="B115" s="273"/>
      <c r="C115" s="378"/>
      <c r="D115" s="588" t="s">
        <v>351</v>
      </c>
      <c r="E115" s="952" t="e">
        <f ca="1">VLOOKUP($D115,Data!$C$2:$H$370,6,FALSE)</f>
        <v>#VALUE!</v>
      </c>
      <c r="F115" s="378"/>
      <c r="G115" s="588" t="s">
        <v>351</v>
      </c>
      <c r="H115" s="949" t="e">
        <f t="shared" ca="1" si="3"/>
        <v>#VALUE!</v>
      </c>
      <c r="I115" s="740" t="str">
        <f t="shared" ca="1" si="4"/>
        <v/>
      </c>
      <c r="J115" s="740" t="str">
        <f t="shared" ca="1" si="0"/>
        <v/>
      </c>
      <c r="K115" s="740" t="str">
        <f t="shared" ca="1" si="1"/>
        <v/>
      </c>
      <c r="L115" s="740" t="str">
        <f t="shared" ca="1" si="2"/>
        <v/>
      </c>
      <c r="M115" s="264"/>
      <c r="N115" s="277"/>
      <c r="O115" s="278"/>
    </row>
    <row r="116" spans="1:15" ht="13.95" customHeight="1" x14ac:dyDescent="0.25">
      <c r="A116" s="169"/>
      <c r="B116" s="273"/>
      <c r="C116" s="378"/>
      <c r="D116" s="588" t="s">
        <v>352</v>
      </c>
      <c r="E116" s="952" t="e">
        <f ca="1">VLOOKUP($D116,Data!$C$2:$H$370,6,FALSE)</f>
        <v>#VALUE!</v>
      </c>
      <c r="F116" s="378"/>
      <c r="G116" s="588" t="s">
        <v>352</v>
      </c>
      <c r="H116" s="949" t="e">
        <f t="shared" ca="1" si="3"/>
        <v>#VALUE!</v>
      </c>
      <c r="I116" s="740" t="str">
        <f t="shared" ca="1" si="4"/>
        <v/>
      </c>
      <c r="J116" s="740" t="str">
        <f t="shared" ca="1" si="0"/>
        <v/>
      </c>
      <c r="K116" s="740" t="str">
        <f t="shared" ca="1" si="1"/>
        <v/>
      </c>
      <c r="L116" s="740" t="str">
        <f t="shared" ca="1" si="2"/>
        <v/>
      </c>
      <c r="M116" s="264"/>
      <c r="N116" s="277"/>
      <c r="O116" s="278"/>
    </row>
    <row r="117" spans="1:15" ht="13.95" customHeight="1" x14ac:dyDescent="0.25">
      <c r="A117" s="169"/>
      <c r="B117" s="273"/>
      <c r="C117" s="378"/>
      <c r="D117" s="588" t="s">
        <v>353</v>
      </c>
      <c r="E117" s="952" t="e">
        <f ca="1">VLOOKUP($D117,Data!$C$2:$H$370,6,FALSE)</f>
        <v>#VALUE!</v>
      </c>
      <c r="F117" s="378"/>
      <c r="G117" s="588" t="s">
        <v>353</v>
      </c>
      <c r="H117" s="949" t="e">
        <f t="shared" ca="1" si="3"/>
        <v>#VALUE!</v>
      </c>
      <c r="I117" s="740" t="str">
        <f t="shared" ca="1" si="4"/>
        <v/>
      </c>
      <c r="J117" s="740" t="str">
        <f t="shared" ca="1" si="0"/>
        <v/>
      </c>
      <c r="K117" s="740" t="str">
        <f t="shared" ca="1" si="1"/>
        <v/>
      </c>
      <c r="L117" s="740" t="str">
        <f t="shared" ca="1" si="2"/>
        <v/>
      </c>
      <c r="M117" s="264"/>
      <c r="N117" s="277"/>
      <c r="O117" s="278"/>
    </row>
    <row r="118" spans="1:15" ht="13.95" customHeight="1" x14ac:dyDescent="0.25">
      <c r="A118" s="169"/>
      <c r="B118" s="273"/>
      <c r="C118" s="378"/>
      <c r="D118" s="588" t="s">
        <v>1078</v>
      </c>
      <c r="E118" s="952" t="e">
        <f ca="1">VLOOKUP($D118,Data!$C$2:$H$370,6,FALSE)</f>
        <v>#VALUE!</v>
      </c>
      <c r="F118" s="378"/>
      <c r="G118" s="588" t="s">
        <v>1078</v>
      </c>
      <c r="H118" s="949" t="e">
        <f t="shared" ca="1" si="3"/>
        <v>#VALUE!</v>
      </c>
      <c r="I118" s="740" t="str">
        <f t="shared" ca="1" si="4"/>
        <v/>
      </c>
      <c r="J118" s="740" t="str">
        <f t="shared" ca="1" si="0"/>
        <v/>
      </c>
      <c r="K118" s="740" t="str">
        <f t="shared" ca="1" si="1"/>
        <v/>
      </c>
      <c r="L118" s="740" t="str">
        <f t="shared" ca="1" si="2"/>
        <v/>
      </c>
      <c r="M118" s="264"/>
      <c r="N118" s="277"/>
      <c r="O118" s="278"/>
    </row>
    <row r="119" spans="1:15" ht="13.95" customHeight="1" x14ac:dyDescent="0.25">
      <c r="A119" s="169"/>
      <c r="B119" s="273"/>
      <c r="C119" s="378"/>
      <c r="D119" s="588" t="s">
        <v>354</v>
      </c>
      <c r="E119" s="952" t="e">
        <f ca="1">VLOOKUP($D119,Data!$C$2:$H$370,6,FALSE)</f>
        <v>#VALUE!</v>
      </c>
      <c r="F119" s="378"/>
      <c r="G119" s="588" t="s">
        <v>354</v>
      </c>
      <c r="H119" s="949" t="e">
        <f t="shared" ca="1" si="3"/>
        <v>#VALUE!</v>
      </c>
      <c r="I119" s="740" t="str">
        <f t="shared" ca="1" si="4"/>
        <v/>
      </c>
      <c r="J119" s="740" t="str">
        <f t="shared" ca="1" si="0"/>
        <v/>
      </c>
      <c r="K119" s="740" t="str">
        <f t="shared" ca="1" si="1"/>
        <v/>
      </c>
      <c r="L119" s="740" t="str">
        <f t="shared" ca="1" si="2"/>
        <v/>
      </c>
      <c r="M119" s="264"/>
      <c r="N119" s="277"/>
      <c r="O119" s="278"/>
    </row>
    <row r="120" spans="1:15" ht="13.95" customHeight="1" x14ac:dyDescent="0.25">
      <c r="A120" s="169"/>
      <c r="B120" s="273"/>
      <c r="C120" s="378"/>
      <c r="D120" s="588" t="s">
        <v>355</v>
      </c>
      <c r="E120" s="952" t="e">
        <f ca="1">VLOOKUP($D120,Data!$C$2:$H$370,6,FALSE)</f>
        <v>#VALUE!</v>
      </c>
      <c r="F120" s="378"/>
      <c r="G120" s="588" t="s">
        <v>355</v>
      </c>
      <c r="H120" s="949" t="e">
        <f t="shared" ca="1" si="3"/>
        <v>#VALUE!</v>
      </c>
      <c r="I120" s="740" t="str">
        <f t="shared" ca="1" si="4"/>
        <v/>
      </c>
      <c r="J120" s="740" t="str">
        <f t="shared" ca="1" si="0"/>
        <v/>
      </c>
      <c r="K120" s="740" t="str">
        <f t="shared" ca="1" si="1"/>
        <v/>
      </c>
      <c r="L120" s="740" t="str">
        <f t="shared" ca="1" si="2"/>
        <v/>
      </c>
      <c r="M120" s="264"/>
      <c r="N120" s="277"/>
      <c r="O120" s="278"/>
    </row>
    <row r="121" spans="1:15" ht="13.95" customHeight="1" x14ac:dyDescent="0.25">
      <c r="A121" s="169"/>
      <c r="B121" s="273"/>
      <c r="C121" s="378"/>
      <c r="D121" s="588" t="s">
        <v>356</v>
      </c>
      <c r="E121" s="952" t="e">
        <f ca="1">VLOOKUP($D121,Data!$C$2:$H$370,6,FALSE)</f>
        <v>#VALUE!</v>
      </c>
      <c r="F121" s="378"/>
      <c r="G121" s="588" t="s">
        <v>356</v>
      </c>
      <c r="H121" s="949" t="e">
        <f t="shared" ca="1" si="3"/>
        <v>#VALUE!</v>
      </c>
      <c r="I121" s="740" t="str">
        <f t="shared" ca="1" si="4"/>
        <v/>
      </c>
      <c r="J121" s="740" t="str">
        <f t="shared" ca="1" si="0"/>
        <v/>
      </c>
      <c r="K121" s="740" t="str">
        <f t="shared" ca="1" si="1"/>
        <v/>
      </c>
      <c r="L121" s="740" t="str">
        <f t="shared" ca="1" si="2"/>
        <v/>
      </c>
      <c r="M121" s="264"/>
      <c r="N121" s="277"/>
      <c r="O121" s="278"/>
    </row>
    <row r="122" spans="1:15" ht="13.95" customHeight="1" x14ac:dyDescent="0.25">
      <c r="A122" s="169"/>
      <c r="B122" s="273"/>
      <c r="C122" s="378"/>
      <c r="D122" s="588" t="s">
        <v>1079</v>
      </c>
      <c r="E122" s="952" t="e">
        <f ca="1">VLOOKUP($D122,Data!$C$2:$H$370,6,FALSE)</f>
        <v>#VALUE!</v>
      </c>
      <c r="F122" s="378"/>
      <c r="G122" s="588" t="s">
        <v>1079</v>
      </c>
      <c r="H122" s="949" t="e">
        <f t="shared" ca="1" si="3"/>
        <v>#VALUE!</v>
      </c>
      <c r="I122" s="740" t="str">
        <f t="shared" ca="1" si="4"/>
        <v/>
      </c>
      <c r="J122" s="740" t="str">
        <f t="shared" ca="1" si="0"/>
        <v/>
      </c>
      <c r="K122" s="740" t="str">
        <f t="shared" ca="1" si="1"/>
        <v/>
      </c>
      <c r="L122" s="740" t="str">
        <f t="shared" ca="1" si="2"/>
        <v/>
      </c>
      <c r="M122" s="264"/>
      <c r="N122" s="277"/>
      <c r="O122" s="278"/>
    </row>
    <row r="123" spans="1:15" ht="13.95" customHeight="1" x14ac:dyDescent="0.25">
      <c r="A123" s="169"/>
      <c r="B123" s="273"/>
      <c r="C123" s="378"/>
      <c r="D123" s="588" t="s">
        <v>1080</v>
      </c>
      <c r="E123" s="952" t="e">
        <f ca="1">VLOOKUP($D123,Data!$C$2:$H$370,6,FALSE)</f>
        <v>#VALUE!</v>
      </c>
      <c r="F123" s="378"/>
      <c r="G123" s="588" t="s">
        <v>1080</v>
      </c>
      <c r="H123" s="949" t="e">
        <f t="shared" ca="1" si="3"/>
        <v>#VALUE!</v>
      </c>
      <c r="I123" s="740" t="str">
        <f t="shared" ca="1" si="4"/>
        <v/>
      </c>
      <c r="J123" s="740" t="str">
        <f t="shared" ca="1" si="0"/>
        <v/>
      </c>
      <c r="K123" s="740" t="str">
        <f t="shared" ca="1" si="1"/>
        <v/>
      </c>
      <c r="L123" s="740" t="str">
        <f t="shared" ca="1" si="2"/>
        <v/>
      </c>
      <c r="M123" s="264"/>
      <c r="N123" s="277"/>
      <c r="O123" s="278"/>
    </row>
    <row r="124" spans="1:15" ht="13.95" customHeight="1" x14ac:dyDescent="0.25">
      <c r="A124" s="169"/>
      <c r="B124" s="273"/>
      <c r="C124" s="378"/>
      <c r="D124" s="588" t="s">
        <v>1081</v>
      </c>
      <c r="E124" s="952" t="e">
        <f ca="1">VLOOKUP($D124,Data!$C$2:$H$370,6,FALSE)</f>
        <v>#VALUE!</v>
      </c>
      <c r="F124" s="378"/>
      <c r="G124" s="588" t="s">
        <v>1081</v>
      </c>
      <c r="H124" s="949" t="e">
        <f t="shared" ca="1" si="3"/>
        <v>#VALUE!</v>
      </c>
      <c r="I124" s="740" t="str">
        <f t="shared" ca="1" si="4"/>
        <v/>
      </c>
      <c r="J124" s="740" t="str">
        <f t="shared" ca="1" si="0"/>
        <v/>
      </c>
      <c r="K124" s="740" t="str">
        <f t="shared" ca="1" si="1"/>
        <v/>
      </c>
      <c r="L124" s="740" t="str">
        <f t="shared" ca="1" si="2"/>
        <v/>
      </c>
      <c r="M124" s="264"/>
      <c r="N124" s="277"/>
      <c r="O124" s="278"/>
    </row>
    <row r="125" spans="1:15" ht="13.95" customHeight="1" x14ac:dyDescent="0.25">
      <c r="A125" s="169"/>
      <c r="B125" s="273"/>
      <c r="C125" s="378"/>
      <c r="D125" s="588" t="s">
        <v>1082</v>
      </c>
      <c r="E125" s="952" t="e">
        <f ca="1">VLOOKUP($D125,Data!$C$2:$H$370,6,FALSE)</f>
        <v>#VALUE!</v>
      </c>
      <c r="F125" s="378"/>
      <c r="G125" s="588" t="s">
        <v>1082</v>
      </c>
      <c r="H125" s="949" t="e">
        <f t="shared" ca="1" si="3"/>
        <v>#VALUE!</v>
      </c>
      <c r="I125" s="740" t="str">
        <f t="shared" ca="1" si="4"/>
        <v/>
      </c>
      <c r="J125" s="740" t="str">
        <f t="shared" ca="1" si="0"/>
        <v/>
      </c>
      <c r="K125" s="740" t="str">
        <f t="shared" ca="1" si="1"/>
        <v/>
      </c>
      <c r="L125" s="740" t="str">
        <f t="shared" ca="1" si="2"/>
        <v/>
      </c>
      <c r="M125" s="264"/>
      <c r="N125" s="277"/>
      <c r="O125" s="278"/>
    </row>
    <row r="126" spans="1:15" ht="13.95" customHeight="1" x14ac:dyDescent="0.25">
      <c r="A126" s="169"/>
      <c r="B126" s="273"/>
      <c r="C126" s="378"/>
      <c r="D126" s="588" t="s">
        <v>1083</v>
      </c>
      <c r="E126" s="952" t="e">
        <f ca="1">VLOOKUP($D126,Data!$C$2:$H$370,6,FALSE)</f>
        <v>#VALUE!</v>
      </c>
      <c r="F126" s="378"/>
      <c r="G126" s="588" t="s">
        <v>1083</v>
      </c>
      <c r="H126" s="949" t="e">
        <f t="shared" ca="1" si="3"/>
        <v>#VALUE!</v>
      </c>
      <c r="I126" s="740" t="str">
        <f t="shared" ca="1" si="4"/>
        <v/>
      </c>
      <c r="J126" s="740" t="str">
        <f t="shared" ca="1" si="0"/>
        <v/>
      </c>
      <c r="K126" s="740" t="str">
        <f t="shared" ca="1" si="1"/>
        <v/>
      </c>
      <c r="L126" s="740" t="str">
        <f t="shared" ca="1" si="2"/>
        <v/>
      </c>
      <c r="M126" s="264"/>
      <c r="N126" s="277"/>
      <c r="O126" s="278"/>
    </row>
    <row r="127" spans="1:15" ht="13.95" customHeight="1" x14ac:dyDescent="0.25">
      <c r="A127" s="169"/>
      <c r="B127" s="273"/>
      <c r="C127" s="378"/>
      <c r="D127" s="588" t="s">
        <v>1084</v>
      </c>
      <c r="E127" s="952" t="e">
        <f ca="1">VLOOKUP($D127,Data!$C$2:$H$370,6,FALSE)</f>
        <v>#VALUE!</v>
      </c>
      <c r="F127" s="378"/>
      <c r="G127" s="588" t="s">
        <v>1084</v>
      </c>
      <c r="H127" s="949" t="e">
        <f t="shared" ca="1" si="3"/>
        <v>#VALUE!</v>
      </c>
      <c r="I127" s="740" t="str">
        <f t="shared" ca="1" si="4"/>
        <v/>
      </c>
      <c r="J127" s="740" t="str">
        <f t="shared" ca="1" si="0"/>
        <v/>
      </c>
      <c r="K127" s="740" t="str">
        <f t="shared" ca="1" si="1"/>
        <v/>
      </c>
      <c r="L127" s="740" t="str">
        <f t="shared" ca="1" si="2"/>
        <v/>
      </c>
      <c r="M127" s="264"/>
      <c r="N127" s="277"/>
      <c r="O127" s="278"/>
    </row>
    <row r="128" spans="1:15" ht="13.95" customHeight="1" x14ac:dyDescent="0.25">
      <c r="A128" s="169"/>
      <c r="B128" s="273"/>
      <c r="C128" s="378"/>
      <c r="D128" s="588" t="s">
        <v>1085</v>
      </c>
      <c r="E128" s="952" t="e">
        <f ca="1">VLOOKUP($D128,Data!$C$2:$H$370,6,FALSE)</f>
        <v>#VALUE!</v>
      </c>
      <c r="F128" s="378"/>
      <c r="G128" s="588" t="s">
        <v>1085</v>
      </c>
      <c r="H128" s="949" t="e">
        <f t="shared" ca="1" si="3"/>
        <v>#VALUE!</v>
      </c>
      <c r="I128" s="740" t="str">
        <f t="shared" ca="1" si="4"/>
        <v/>
      </c>
      <c r="J128" s="740" t="str">
        <f t="shared" ca="1" si="0"/>
        <v/>
      </c>
      <c r="K128" s="740" t="str">
        <f t="shared" ca="1" si="1"/>
        <v/>
      </c>
      <c r="L128" s="740" t="str">
        <f t="shared" ca="1" si="2"/>
        <v/>
      </c>
      <c r="M128" s="264"/>
      <c r="N128" s="277"/>
      <c r="O128" s="278"/>
    </row>
    <row r="129" spans="1:15" ht="13.95" customHeight="1" x14ac:dyDescent="0.25">
      <c r="A129" s="169"/>
      <c r="B129" s="273"/>
      <c r="C129" s="378"/>
      <c r="D129" s="588" t="s">
        <v>1086</v>
      </c>
      <c r="E129" s="952" t="e">
        <f ca="1">VLOOKUP($D129,Data!$C$2:$H$370,6,FALSE)</f>
        <v>#VALUE!</v>
      </c>
      <c r="F129" s="378"/>
      <c r="G129" s="588" t="s">
        <v>1086</v>
      </c>
      <c r="H129" s="949" t="e">
        <f t="shared" ca="1" si="3"/>
        <v>#VALUE!</v>
      </c>
      <c r="I129" s="740" t="str">
        <f t="shared" ca="1" si="4"/>
        <v/>
      </c>
      <c r="J129" s="740" t="str">
        <f t="shared" ca="1" si="0"/>
        <v/>
      </c>
      <c r="K129" s="740" t="str">
        <f t="shared" ca="1" si="1"/>
        <v/>
      </c>
      <c r="L129" s="740" t="str">
        <f t="shared" ca="1" si="2"/>
        <v/>
      </c>
      <c r="M129" s="264"/>
      <c r="N129" s="277"/>
      <c r="O129" s="278"/>
    </row>
    <row r="130" spans="1:15" ht="13.95" customHeight="1" x14ac:dyDescent="0.25">
      <c r="A130" s="169"/>
      <c r="B130" s="273"/>
      <c r="C130" s="378"/>
      <c r="D130" s="588" t="s">
        <v>1087</v>
      </c>
      <c r="E130" s="952" t="e">
        <f ca="1">VLOOKUP($D130,Data!$C$2:$H$370,6,FALSE)</f>
        <v>#VALUE!</v>
      </c>
      <c r="F130" s="378"/>
      <c r="G130" s="588" t="s">
        <v>1087</v>
      </c>
      <c r="H130" s="949" t="e">
        <f t="shared" ca="1" si="3"/>
        <v>#VALUE!</v>
      </c>
      <c r="I130" s="740" t="str">
        <f t="shared" ca="1" si="4"/>
        <v/>
      </c>
      <c r="J130" s="740" t="str">
        <f t="shared" ca="1" si="0"/>
        <v/>
      </c>
      <c r="K130" s="740" t="str">
        <f t="shared" ca="1" si="1"/>
        <v/>
      </c>
      <c r="L130" s="740" t="str">
        <f t="shared" ca="1" si="2"/>
        <v/>
      </c>
      <c r="M130" s="264"/>
      <c r="N130" s="277"/>
      <c r="O130" s="278"/>
    </row>
    <row r="131" spans="1:15" ht="13.95" customHeight="1" x14ac:dyDescent="0.25">
      <c r="A131" s="169"/>
      <c r="B131" s="273"/>
      <c r="C131" s="378"/>
      <c r="D131" s="588" t="s">
        <v>357</v>
      </c>
      <c r="E131" s="952" t="e">
        <f ca="1">VLOOKUP($D131,Data!$C$2:$H$370,6,FALSE)</f>
        <v>#VALUE!</v>
      </c>
      <c r="F131" s="378"/>
      <c r="G131" s="588" t="s">
        <v>357</v>
      </c>
      <c r="H131" s="949" t="e">
        <f t="shared" ca="1" si="3"/>
        <v>#VALUE!</v>
      </c>
      <c r="I131" s="740" t="str">
        <f t="shared" ca="1" si="4"/>
        <v/>
      </c>
      <c r="J131" s="740" t="str">
        <f t="shared" ca="1" si="0"/>
        <v/>
      </c>
      <c r="K131" s="740" t="str">
        <f t="shared" ca="1" si="1"/>
        <v/>
      </c>
      <c r="L131" s="740" t="str">
        <f t="shared" ca="1" si="2"/>
        <v/>
      </c>
      <c r="M131" s="264"/>
      <c r="N131" s="277"/>
      <c r="O131" s="278"/>
    </row>
    <row r="132" spans="1:15" ht="13.95" customHeight="1" x14ac:dyDescent="0.25">
      <c r="A132" s="169"/>
      <c r="B132" s="273"/>
      <c r="C132" s="378"/>
      <c r="D132" s="588" t="s">
        <v>358</v>
      </c>
      <c r="E132" s="952" t="e">
        <f ca="1">VLOOKUP($D132,Data!$C$2:$H$370,6,FALSE)</f>
        <v>#VALUE!</v>
      </c>
      <c r="F132" s="378"/>
      <c r="G132" s="588" t="s">
        <v>358</v>
      </c>
      <c r="H132" s="949" t="e">
        <f t="shared" ca="1" si="3"/>
        <v>#VALUE!</v>
      </c>
      <c r="I132" s="740" t="str">
        <f t="shared" ca="1" si="4"/>
        <v/>
      </c>
      <c r="J132" s="740" t="str">
        <f t="shared" ca="1" si="0"/>
        <v/>
      </c>
      <c r="K132" s="740" t="str">
        <f t="shared" ca="1" si="1"/>
        <v/>
      </c>
      <c r="L132" s="740" t="str">
        <f t="shared" ca="1" si="2"/>
        <v/>
      </c>
      <c r="M132" s="264"/>
      <c r="N132" s="277"/>
      <c r="O132" s="278"/>
    </row>
    <row r="133" spans="1:15" ht="13.95" customHeight="1" x14ac:dyDescent="0.25">
      <c r="A133" s="169"/>
      <c r="B133" s="273"/>
      <c r="C133" s="378"/>
      <c r="D133" s="588" t="s">
        <v>359</v>
      </c>
      <c r="E133" s="952" t="e">
        <f ca="1">VLOOKUP($D133,Data!$C$2:$H$370,6,FALSE)</f>
        <v>#VALUE!</v>
      </c>
      <c r="F133" s="378"/>
      <c r="G133" s="588" t="s">
        <v>359</v>
      </c>
      <c r="H133" s="949" t="e">
        <f t="shared" ca="1" si="3"/>
        <v>#VALUE!</v>
      </c>
      <c r="I133" s="740" t="str">
        <f t="shared" ca="1" si="4"/>
        <v/>
      </c>
      <c r="J133" s="740" t="str">
        <f t="shared" ca="1" si="0"/>
        <v/>
      </c>
      <c r="K133" s="740" t="str">
        <f t="shared" ca="1" si="1"/>
        <v/>
      </c>
      <c r="L133" s="740" t="str">
        <f t="shared" ca="1" si="2"/>
        <v/>
      </c>
      <c r="M133" s="264"/>
      <c r="N133" s="277"/>
      <c r="O133" s="278"/>
    </row>
    <row r="134" spans="1:15" ht="13.95" customHeight="1" x14ac:dyDescent="0.25">
      <c r="A134" s="169"/>
      <c r="B134" s="273"/>
      <c r="C134" s="378"/>
      <c r="D134" s="588" t="s">
        <v>360</v>
      </c>
      <c r="E134" s="952" t="e">
        <f ca="1">VLOOKUP($D134,Data!$C$2:$H$370,6,FALSE)</f>
        <v>#VALUE!</v>
      </c>
      <c r="F134" s="378"/>
      <c r="G134" s="588" t="s">
        <v>360</v>
      </c>
      <c r="H134" s="949" t="e">
        <f t="shared" ca="1" si="3"/>
        <v>#VALUE!</v>
      </c>
      <c r="I134" s="740" t="str">
        <f t="shared" ca="1" si="4"/>
        <v/>
      </c>
      <c r="J134" s="740" t="str">
        <f t="shared" ca="1" si="0"/>
        <v/>
      </c>
      <c r="K134" s="740" t="str">
        <f t="shared" ca="1" si="1"/>
        <v/>
      </c>
      <c r="L134" s="740" t="str">
        <f t="shared" ca="1" si="2"/>
        <v/>
      </c>
      <c r="M134" s="264"/>
      <c r="N134" s="277"/>
      <c r="O134" s="278"/>
    </row>
    <row r="135" spans="1:15" ht="13.95" customHeight="1" x14ac:dyDescent="0.25">
      <c r="A135" s="169"/>
      <c r="B135" s="273"/>
      <c r="C135" s="378"/>
      <c r="D135" s="588" t="s">
        <v>1088</v>
      </c>
      <c r="E135" s="952" t="e">
        <f ca="1">VLOOKUP($D135,Data!$C$2:$H$370,6,FALSE)</f>
        <v>#VALUE!</v>
      </c>
      <c r="F135" s="378"/>
      <c r="G135" s="588" t="s">
        <v>1088</v>
      </c>
      <c r="H135" s="949" t="e">
        <f t="shared" ca="1" si="3"/>
        <v>#VALUE!</v>
      </c>
      <c r="I135" s="740" t="str">
        <f t="shared" ca="1" si="4"/>
        <v/>
      </c>
      <c r="J135" s="740" t="str">
        <f t="shared" ca="1" si="0"/>
        <v/>
      </c>
      <c r="K135" s="740" t="str">
        <f t="shared" ca="1" si="1"/>
        <v/>
      </c>
      <c r="L135" s="740" t="str">
        <f t="shared" ca="1" si="2"/>
        <v/>
      </c>
      <c r="M135" s="264"/>
      <c r="N135" s="277"/>
      <c r="O135" s="278"/>
    </row>
    <row r="136" spans="1:15" ht="13.95" customHeight="1" x14ac:dyDescent="0.25">
      <c r="A136" s="169"/>
      <c r="B136" s="273"/>
      <c r="C136" s="378"/>
      <c r="D136" s="588" t="s">
        <v>1089</v>
      </c>
      <c r="E136" s="952" t="e">
        <f ca="1">VLOOKUP($D136,Data!$C$2:$H$370,6,FALSE)</f>
        <v>#VALUE!</v>
      </c>
      <c r="F136" s="378"/>
      <c r="G136" s="588" t="s">
        <v>1089</v>
      </c>
      <c r="H136" s="949" t="e">
        <f t="shared" ca="1" si="3"/>
        <v>#VALUE!</v>
      </c>
      <c r="I136" s="740" t="str">
        <f t="shared" ca="1" si="4"/>
        <v/>
      </c>
      <c r="J136" s="740" t="str">
        <f t="shared" ca="1" si="0"/>
        <v/>
      </c>
      <c r="K136" s="740" t="str">
        <f t="shared" ca="1" si="1"/>
        <v/>
      </c>
      <c r="L136" s="740" t="str">
        <f t="shared" ca="1" si="2"/>
        <v/>
      </c>
      <c r="M136" s="264"/>
      <c r="N136" s="277"/>
      <c r="O136" s="278"/>
    </row>
    <row r="137" spans="1:15" ht="13.95" customHeight="1" x14ac:dyDescent="0.25">
      <c r="A137" s="169"/>
      <c r="B137" s="273"/>
      <c r="C137" s="378"/>
      <c r="D137" s="588" t="s">
        <v>1090</v>
      </c>
      <c r="E137" s="952" t="e">
        <f ca="1">VLOOKUP($D137,Data!$C$2:$H$370,6,FALSE)</f>
        <v>#VALUE!</v>
      </c>
      <c r="F137" s="378"/>
      <c r="G137" s="588" t="s">
        <v>1090</v>
      </c>
      <c r="H137" s="949" t="e">
        <f t="shared" ca="1" si="3"/>
        <v>#VALUE!</v>
      </c>
      <c r="I137" s="740" t="str">
        <f t="shared" ca="1" si="4"/>
        <v/>
      </c>
      <c r="J137" s="740" t="str">
        <f t="shared" ca="1" si="0"/>
        <v/>
      </c>
      <c r="K137" s="740" t="str">
        <f t="shared" ca="1" si="1"/>
        <v/>
      </c>
      <c r="L137" s="740" t="str">
        <f t="shared" ca="1" si="2"/>
        <v/>
      </c>
      <c r="M137" s="264"/>
      <c r="N137" s="277"/>
      <c r="O137" s="278"/>
    </row>
    <row r="138" spans="1:15" ht="13.95" customHeight="1" x14ac:dyDescent="0.25">
      <c r="A138" s="169"/>
      <c r="B138" s="273"/>
      <c r="C138" s="378"/>
      <c r="D138" s="588" t="s">
        <v>1091</v>
      </c>
      <c r="E138" s="952" t="e">
        <f ca="1">VLOOKUP($D138,Data!$C$2:$H$370,6,FALSE)</f>
        <v>#VALUE!</v>
      </c>
      <c r="F138" s="378"/>
      <c r="G138" s="588" t="s">
        <v>1091</v>
      </c>
      <c r="H138" s="949" t="e">
        <f t="shared" ca="1" si="3"/>
        <v>#VALUE!</v>
      </c>
      <c r="I138" s="740" t="str">
        <f t="shared" ca="1" si="4"/>
        <v/>
      </c>
      <c r="J138" s="740" t="str">
        <f t="shared" ca="1" si="0"/>
        <v/>
      </c>
      <c r="K138" s="740" t="str">
        <f t="shared" ca="1" si="1"/>
        <v/>
      </c>
      <c r="L138" s="740" t="str">
        <f t="shared" ca="1" si="2"/>
        <v/>
      </c>
      <c r="M138" s="264"/>
      <c r="N138" s="277"/>
      <c r="O138" s="278"/>
    </row>
    <row r="139" spans="1:15" ht="13.95" customHeight="1" x14ac:dyDescent="0.25">
      <c r="A139" s="169"/>
      <c r="B139" s="273"/>
      <c r="C139" s="378"/>
      <c r="D139" s="588" t="s">
        <v>1092</v>
      </c>
      <c r="E139" s="952" t="e">
        <f ca="1">VLOOKUP($D139,Data!$C$2:$H$370,6,FALSE)</f>
        <v>#VALUE!</v>
      </c>
      <c r="F139" s="378"/>
      <c r="G139" s="588" t="s">
        <v>1092</v>
      </c>
      <c r="H139" s="949" t="e">
        <f t="shared" ca="1" si="3"/>
        <v>#VALUE!</v>
      </c>
      <c r="I139" s="740" t="str">
        <f t="shared" ca="1" si="4"/>
        <v/>
      </c>
      <c r="J139" s="740" t="str">
        <f t="shared" ca="1" si="0"/>
        <v/>
      </c>
      <c r="K139" s="740" t="str">
        <f t="shared" ca="1" si="1"/>
        <v/>
      </c>
      <c r="L139" s="740" t="str">
        <f t="shared" ca="1" si="2"/>
        <v/>
      </c>
      <c r="M139" s="264"/>
      <c r="N139" s="277"/>
      <c r="O139" s="278"/>
    </row>
    <row r="140" spans="1:15" ht="13.95" customHeight="1" x14ac:dyDescent="0.25">
      <c r="A140" s="169"/>
      <c r="B140" s="273"/>
      <c r="C140" s="378"/>
      <c r="D140" s="588" t="s">
        <v>1093</v>
      </c>
      <c r="E140" s="952" t="e">
        <f ca="1">VLOOKUP($D140,Data!$C$2:$H$370,6,FALSE)</f>
        <v>#VALUE!</v>
      </c>
      <c r="F140" s="378"/>
      <c r="G140" s="588" t="s">
        <v>1093</v>
      </c>
      <c r="H140" s="949" t="e">
        <f t="shared" ca="1" si="3"/>
        <v>#VALUE!</v>
      </c>
      <c r="I140" s="740" t="str">
        <f t="shared" ca="1" si="4"/>
        <v/>
      </c>
      <c r="J140" s="740" t="str">
        <f t="shared" ca="1" si="0"/>
        <v/>
      </c>
      <c r="K140" s="740" t="str">
        <f t="shared" ca="1" si="1"/>
        <v/>
      </c>
      <c r="L140" s="740" t="str">
        <f t="shared" ca="1" si="2"/>
        <v/>
      </c>
      <c r="M140" s="264"/>
      <c r="N140" s="277"/>
      <c r="O140" s="278"/>
    </row>
    <row r="141" spans="1:15" ht="13.95" customHeight="1" x14ac:dyDescent="0.25">
      <c r="A141" s="169"/>
      <c r="B141" s="273"/>
      <c r="C141" s="378"/>
      <c r="D141" s="588" t="s">
        <v>361</v>
      </c>
      <c r="E141" s="952" t="e">
        <f ca="1">VLOOKUP($D141,Data!$C$2:$H$370,6,FALSE)</f>
        <v>#VALUE!</v>
      </c>
      <c r="F141" s="378"/>
      <c r="G141" s="588" t="s">
        <v>361</v>
      </c>
      <c r="H141" s="949" t="e">
        <f t="shared" ca="1" si="3"/>
        <v>#VALUE!</v>
      </c>
      <c r="I141" s="740" t="str">
        <f t="shared" ca="1" si="4"/>
        <v/>
      </c>
      <c r="J141" s="740" t="str">
        <f t="shared" ca="1" si="0"/>
        <v/>
      </c>
      <c r="K141" s="740" t="str">
        <f t="shared" ca="1" si="1"/>
        <v/>
      </c>
      <c r="L141" s="740" t="str">
        <f t="shared" ca="1" si="2"/>
        <v/>
      </c>
      <c r="M141" s="264"/>
      <c r="N141" s="277"/>
      <c r="O141" s="278"/>
    </row>
    <row r="142" spans="1:15" ht="13.95" customHeight="1" x14ac:dyDescent="0.25">
      <c r="A142" s="169"/>
      <c r="B142" s="273"/>
      <c r="C142" s="378"/>
      <c r="D142" s="588" t="s">
        <v>362</v>
      </c>
      <c r="E142" s="952" t="e">
        <f ca="1">VLOOKUP($D142,Data!$C$2:$H$370,6,FALSE)</f>
        <v>#VALUE!</v>
      </c>
      <c r="F142" s="378"/>
      <c r="G142" s="588" t="s">
        <v>362</v>
      </c>
      <c r="H142" s="949" t="e">
        <f t="shared" ca="1" si="3"/>
        <v>#VALUE!</v>
      </c>
      <c r="I142" s="740" t="str">
        <f t="shared" ca="1" si="4"/>
        <v/>
      </c>
      <c r="J142" s="740" t="str">
        <f t="shared" ca="1" si="0"/>
        <v/>
      </c>
      <c r="K142" s="740" t="str">
        <f t="shared" ca="1" si="1"/>
        <v/>
      </c>
      <c r="L142" s="740" t="str">
        <f t="shared" ca="1" si="2"/>
        <v/>
      </c>
      <c r="M142" s="264"/>
      <c r="N142" s="277"/>
      <c r="O142" s="278"/>
    </row>
    <row r="143" spans="1:15" ht="13.95" customHeight="1" x14ac:dyDescent="0.25">
      <c r="A143" s="169"/>
      <c r="B143" s="273"/>
      <c r="C143" s="378"/>
      <c r="D143" s="588" t="s">
        <v>363</v>
      </c>
      <c r="E143" s="952" t="e">
        <f ca="1">VLOOKUP($D143,Data!$C$2:$H$370,6,FALSE)</f>
        <v>#VALUE!</v>
      </c>
      <c r="F143" s="378"/>
      <c r="G143" s="588" t="s">
        <v>363</v>
      </c>
      <c r="H143" s="949" t="e">
        <f t="shared" ca="1" si="3"/>
        <v>#VALUE!</v>
      </c>
      <c r="I143" s="740" t="str">
        <f t="shared" ref="I143:I206" ca="1" si="5">IF(VLOOKUP(RIGHT($G143,LEN($G143)-FIND("-",$G143)), INDIRECT("'"&amp;LEFT($G143,FIND("-",$G143)-1)&amp;"'!"&amp;"$D:$K"), 5,FALSE) = 0, "",
VLOOKUP(RIGHT($G143,LEN($G143)-FIND("-",$G143)), INDIRECT("'"&amp;LEFT($G143,FIND("-",$G143)-1)&amp;"'!"&amp;"$D:$K"), 5,FALSE) )</f>
        <v/>
      </c>
      <c r="J143" s="740" t="str">
        <f t="shared" ref="J143:J206" ca="1" si="6">IF(VLOOKUP(RIGHT($G143,LEN($G143)-FIND("-",$G143)), INDIRECT("'"&amp;LEFT($G143,FIND("-",$G143)-1)&amp;"'!"&amp;"$D:$K"), 6,FALSE) = 0, "",
VLOOKUP(RIGHT($G143,LEN($G143)-FIND("-",$G143)), INDIRECT("'"&amp;LEFT($G143,FIND("-",$G143)-1)&amp;"'!"&amp;"$D:$K"), 6,FALSE) )</f>
        <v/>
      </c>
      <c r="K143" s="740" t="str">
        <f t="shared" ref="K143:K206" ca="1" si="7">IF(VLOOKUP(RIGHT($G143,LEN($G143)-FIND("-",$G143)), INDIRECT("'"&amp;LEFT($G143,FIND("-",$G143)-1)&amp;"'!"&amp;"$D:$K"), 7,FALSE) = 0, "",
VLOOKUP(RIGHT($G143,LEN($G143)-FIND("-",$G143)), INDIRECT("'"&amp;LEFT($G143,FIND("-",$G143)-1)&amp;"'!"&amp;"$D:$K"), 7,FALSE) )</f>
        <v/>
      </c>
      <c r="L143" s="740" t="str">
        <f t="shared" ref="L143:L206" ca="1" si="8">IF(VLOOKUP(RIGHT($G143,LEN($G143)-FIND("-",$G143)), INDIRECT("'"&amp;LEFT($G143,FIND("-",$G143)-1)&amp;"'!"&amp;"$D:$K"), 8,FALSE) = 0, "",
VLOOKUP(RIGHT($G143,LEN($G143)-FIND("-",$G143)), INDIRECT("'"&amp;LEFT($G143,FIND("-",$G143)-1)&amp;"'!"&amp;"$D:$K"), 8,FALSE) )</f>
        <v/>
      </c>
      <c r="M143" s="264"/>
      <c r="N143" s="277"/>
      <c r="O143" s="278"/>
    </row>
    <row r="144" spans="1:15" ht="13.95" customHeight="1" x14ac:dyDescent="0.25">
      <c r="A144" s="169"/>
      <c r="B144" s="273"/>
      <c r="C144" s="378"/>
      <c r="D144" s="588" t="s">
        <v>364</v>
      </c>
      <c r="E144" s="952" t="e">
        <f ca="1">VLOOKUP($D144,Data!$C$2:$H$370,6,FALSE)</f>
        <v>#VALUE!</v>
      </c>
      <c r="F144" s="378"/>
      <c r="G144" s="588" t="s">
        <v>364</v>
      </c>
      <c r="H144" s="949" t="e">
        <f t="shared" ref="H144:H207" ca="1" si="9">INT(LEFT(
VLOOKUP(RIGHT($G144,LEN($G144)-FIND("-",$G144)), INDIRECT("'"&amp;LEFT($G144,FIND("-",$G144)-1)&amp;"'!"&amp;"$D:$K"), 4,FALSE), 1)
)</f>
        <v>#VALUE!</v>
      </c>
      <c r="I144" s="740" t="str">
        <f t="shared" ca="1" si="5"/>
        <v/>
      </c>
      <c r="J144" s="740" t="str">
        <f t="shared" ca="1" si="6"/>
        <v/>
      </c>
      <c r="K144" s="740" t="str">
        <f t="shared" ca="1" si="7"/>
        <v/>
      </c>
      <c r="L144" s="740" t="str">
        <f t="shared" ca="1" si="8"/>
        <v/>
      </c>
      <c r="M144" s="264"/>
      <c r="N144" s="277"/>
      <c r="O144" s="278"/>
    </row>
    <row r="145" spans="1:15" ht="13.95" customHeight="1" x14ac:dyDescent="0.25">
      <c r="A145" s="169"/>
      <c r="B145" s="273"/>
      <c r="C145" s="378"/>
      <c r="D145" s="588" t="s">
        <v>365</v>
      </c>
      <c r="E145" s="952" t="e">
        <f ca="1">VLOOKUP($D145,Data!$C$2:$H$370,6,FALSE)</f>
        <v>#VALUE!</v>
      </c>
      <c r="F145" s="378"/>
      <c r="G145" s="588" t="s">
        <v>365</v>
      </c>
      <c r="H145" s="949" t="e">
        <f t="shared" ca="1" si="9"/>
        <v>#VALUE!</v>
      </c>
      <c r="I145" s="740" t="str">
        <f t="shared" ca="1" si="5"/>
        <v/>
      </c>
      <c r="J145" s="740" t="str">
        <f t="shared" ca="1" si="6"/>
        <v/>
      </c>
      <c r="K145" s="740" t="str">
        <f t="shared" ca="1" si="7"/>
        <v/>
      </c>
      <c r="L145" s="740" t="str">
        <f t="shared" ca="1" si="8"/>
        <v/>
      </c>
      <c r="M145" s="264"/>
      <c r="N145" s="277"/>
      <c r="O145" s="278"/>
    </row>
    <row r="146" spans="1:15" ht="13.95" customHeight="1" x14ac:dyDescent="0.25">
      <c r="A146" s="169"/>
      <c r="B146" s="273"/>
      <c r="C146" s="378"/>
      <c r="D146" s="588" t="s">
        <v>366</v>
      </c>
      <c r="E146" s="952" t="e">
        <f ca="1">VLOOKUP($D146,Data!$C$2:$H$370,6,FALSE)</f>
        <v>#VALUE!</v>
      </c>
      <c r="F146" s="378"/>
      <c r="G146" s="588" t="s">
        <v>366</v>
      </c>
      <c r="H146" s="949" t="e">
        <f t="shared" ca="1" si="9"/>
        <v>#VALUE!</v>
      </c>
      <c r="I146" s="740" t="str">
        <f t="shared" ca="1" si="5"/>
        <v/>
      </c>
      <c r="J146" s="740" t="str">
        <f t="shared" ca="1" si="6"/>
        <v/>
      </c>
      <c r="K146" s="740" t="str">
        <f t="shared" ca="1" si="7"/>
        <v/>
      </c>
      <c r="L146" s="740" t="str">
        <f t="shared" ca="1" si="8"/>
        <v/>
      </c>
      <c r="M146" s="264"/>
      <c r="N146" s="277"/>
      <c r="O146" s="278"/>
    </row>
    <row r="147" spans="1:15" ht="13.95" customHeight="1" x14ac:dyDescent="0.25">
      <c r="A147" s="169"/>
      <c r="B147" s="273"/>
      <c r="C147" s="378"/>
      <c r="D147" s="588" t="s">
        <v>367</v>
      </c>
      <c r="E147" s="952" t="e">
        <f ca="1">VLOOKUP($D147,Data!$C$2:$H$370,6,FALSE)</f>
        <v>#VALUE!</v>
      </c>
      <c r="F147" s="378"/>
      <c r="G147" s="588" t="s">
        <v>367</v>
      </c>
      <c r="H147" s="949" t="e">
        <f t="shared" ca="1" si="9"/>
        <v>#VALUE!</v>
      </c>
      <c r="I147" s="740" t="str">
        <f t="shared" ca="1" si="5"/>
        <v/>
      </c>
      <c r="J147" s="740" t="str">
        <f t="shared" ca="1" si="6"/>
        <v/>
      </c>
      <c r="K147" s="740" t="str">
        <f t="shared" ca="1" si="7"/>
        <v/>
      </c>
      <c r="L147" s="740" t="str">
        <f t="shared" ca="1" si="8"/>
        <v/>
      </c>
      <c r="M147" s="264"/>
      <c r="N147" s="277"/>
      <c r="O147" s="278"/>
    </row>
    <row r="148" spans="1:15" ht="13.95" customHeight="1" x14ac:dyDescent="0.25">
      <c r="A148" s="169"/>
      <c r="B148" s="273"/>
      <c r="C148" s="378"/>
      <c r="D148" s="588" t="s">
        <v>368</v>
      </c>
      <c r="E148" s="952" t="e">
        <f ca="1">VLOOKUP($D148,Data!$C$2:$H$370,6,FALSE)</f>
        <v>#VALUE!</v>
      </c>
      <c r="F148" s="378"/>
      <c r="G148" s="588" t="s">
        <v>368</v>
      </c>
      <c r="H148" s="949" t="e">
        <f t="shared" ca="1" si="9"/>
        <v>#VALUE!</v>
      </c>
      <c r="I148" s="740" t="str">
        <f t="shared" ca="1" si="5"/>
        <v/>
      </c>
      <c r="J148" s="740" t="str">
        <f t="shared" ca="1" si="6"/>
        <v/>
      </c>
      <c r="K148" s="740" t="str">
        <f t="shared" ca="1" si="7"/>
        <v/>
      </c>
      <c r="L148" s="740" t="str">
        <f t="shared" ca="1" si="8"/>
        <v/>
      </c>
      <c r="M148" s="264"/>
      <c r="N148" s="277"/>
      <c r="O148" s="278"/>
    </row>
    <row r="149" spans="1:15" ht="13.95" customHeight="1" x14ac:dyDescent="0.25">
      <c r="A149" s="169"/>
      <c r="B149" s="273"/>
      <c r="C149" s="378"/>
      <c r="D149" s="588" t="s">
        <v>372</v>
      </c>
      <c r="E149" s="952" t="e">
        <f ca="1">VLOOKUP($D149,Data!$C$2:$H$370,6,FALSE)</f>
        <v>#VALUE!</v>
      </c>
      <c r="F149" s="378"/>
      <c r="G149" s="588" t="s">
        <v>372</v>
      </c>
      <c r="H149" s="949" t="e">
        <f t="shared" ca="1" si="9"/>
        <v>#VALUE!</v>
      </c>
      <c r="I149" s="740" t="str">
        <f t="shared" ca="1" si="5"/>
        <v/>
      </c>
      <c r="J149" s="740" t="str">
        <f t="shared" ca="1" si="6"/>
        <v/>
      </c>
      <c r="K149" s="740" t="str">
        <f t="shared" ca="1" si="7"/>
        <v/>
      </c>
      <c r="L149" s="740" t="str">
        <f t="shared" ca="1" si="8"/>
        <v/>
      </c>
      <c r="M149" s="264"/>
      <c r="N149" s="277"/>
      <c r="O149" s="278"/>
    </row>
    <row r="150" spans="1:15" ht="13.95" customHeight="1" x14ac:dyDescent="0.25">
      <c r="A150" s="169"/>
      <c r="B150" s="273"/>
      <c r="C150" s="378"/>
      <c r="D150" s="588" t="s">
        <v>373</v>
      </c>
      <c r="E150" s="952" t="e">
        <f ca="1">VLOOKUP($D150,Data!$C$2:$H$370,6,FALSE)</f>
        <v>#VALUE!</v>
      </c>
      <c r="F150" s="378"/>
      <c r="G150" s="588" t="s">
        <v>373</v>
      </c>
      <c r="H150" s="949" t="e">
        <f t="shared" ca="1" si="9"/>
        <v>#VALUE!</v>
      </c>
      <c r="I150" s="740" t="str">
        <f t="shared" ca="1" si="5"/>
        <v/>
      </c>
      <c r="J150" s="740" t="str">
        <f t="shared" ca="1" si="6"/>
        <v/>
      </c>
      <c r="K150" s="740" t="str">
        <f t="shared" ca="1" si="7"/>
        <v/>
      </c>
      <c r="L150" s="740" t="str">
        <f t="shared" ca="1" si="8"/>
        <v/>
      </c>
      <c r="M150" s="264"/>
      <c r="N150" s="277"/>
      <c r="O150" s="278"/>
    </row>
    <row r="151" spans="1:15" ht="13.95" customHeight="1" x14ac:dyDescent="0.25">
      <c r="A151" s="169"/>
      <c r="B151" s="273"/>
      <c r="C151" s="378"/>
      <c r="D151" s="588" t="s">
        <v>374</v>
      </c>
      <c r="E151" s="952" t="e">
        <f ca="1">VLOOKUP($D151,Data!$C$2:$H$370,6,FALSE)</f>
        <v>#VALUE!</v>
      </c>
      <c r="F151" s="378"/>
      <c r="G151" s="588" t="s">
        <v>374</v>
      </c>
      <c r="H151" s="949" t="e">
        <f t="shared" ca="1" si="9"/>
        <v>#VALUE!</v>
      </c>
      <c r="I151" s="740" t="str">
        <f t="shared" ca="1" si="5"/>
        <v/>
      </c>
      <c r="J151" s="740" t="str">
        <f t="shared" ca="1" si="6"/>
        <v/>
      </c>
      <c r="K151" s="740" t="str">
        <f t="shared" ca="1" si="7"/>
        <v/>
      </c>
      <c r="L151" s="740" t="str">
        <f t="shared" ca="1" si="8"/>
        <v/>
      </c>
      <c r="M151" s="264"/>
      <c r="N151" s="277"/>
      <c r="O151" s="278"/>
    </row>
    <row r="152" spans="1:15" ht="13.95" customHeight="1" x14ac:dyDescent="0.25">
      <c r="A152" s="169"/>
      <c r="B152" s="273"/>
      <c r="C152" s="378"/>
      <c r="D152" s="588" t="s">
        <v>375</v>
      </c>
      <c r="E152" s="952" t="e">
        <f ca="1">VLOOKUP($D152,Data!$C$2:$H$370,6,FALSE)</f>
        <v>#VALUE!</v>
      </c>
      <c r="F152" s="378"/>
      <c r="G152" s="588" t="s">
        <v>375</v>
      </c>
      <c r="H152" s="949" t="e">
        <f t="shared" ca="1" si="9"/>
        <v>#VALUE!</v>
      </c>
      <c r="I152" s="740" t="str">
        <f t="shared" ca="1" si="5"/>
        <v/>
      </c>
      <c r="J152" s="740" t="str">
        <f t="shared" ca="1" si="6"/>
        <v/>
      </c>
      <c r="K152" s="740" t="str">
        <f t="shared" ca="1" si="7"/>
        <v/>
      </c>
      <c r="L152" s="740" t="str">
        <f t="shared" ca="1" si="8"/>
        <v/>
      </c>
      <c r="M152" s="264"/>
      <c r="N152" s="277"/>
      <c r="O152" s="278"/>
    </row>
    <row r="153" spans="1:15" ht="13.95" customHeight="1" x14ac:dyDescent="0.25">
      <c r="A153" s="169"/>
      <c r="B153" s="273"/>
      <c r="C153" s="378"/>
      <c r="D153" s="588" t="s">
        <v>376</v>
      </c>
      <c r="E153" s="952" t="e">
        <f ca="1">VLOOKUP($D153,Data!$C$2:$H$370,6,FALSE)</f>
        <v>#VALUE!</v>
      </c>
      <c r="F153" s="378"/>
      <c r="G153" s="588" t="s">
        <v>376</v>
      </c>
      <c r="H153" s="949" t="e">
        <f t="shared" ca="1" si="9"/>
        <v>#VALUE!</v>
      </c>
      <c r="I153" s="740" t="str">
        <f t="shared" ca="1" si="5"/>
        <v/>
      </c>
      <c r="J153" s="740" t="str">
        <f t="shared" ca="1" si="6"/>
        <v/>
      </c>
      <c r="K153" s="740" t="str">
        <f t="shared" ca="1" si="7"/>
        <v/>
      </c>
      <c r="L153" s="740" t="str">
        <f t="shared" ca="1" si="8"/>
        <v/>
      </c>
      <c r="M153" s="264"/>
      <c r="N153" s="277"/>
      <c r="O153" s="278"/>
    </row>
    <row r="154" spans="1:15" ht="13.95" customHeight="1" x14ac:dyDescent="0.25">
      <c r="A154" s="169"/>
      <c r="B154" s="273"/>
      <c r="C154" s="378"/>
      <c r="D154" s="588" t="s">
        <v>377</v>
      </c>
      <c r="E154" s="952" t="e">
        <f ca="1">VLOOKUP($D154,Data!$C$2:$H$370,6,FALSE)</f>
        <v>#VALUE!</v>
      </c>
      <c r="F154" s="378"/>
      <c r="G154" s="588" t="s">
        <v>377</v>
      </c>
      <c r="H154" s="949" t="e">
        <f t="shared" ca="1" si="9"/>
        <v>#VALUE!</v>
      </c>
      <c r="I154" s="740" t="str">
        <f t="shared" ca="1" si="5"/>
        <v/>
      </c>
      <c r="J154" s="740" t="str">
        <f t="shared" ca="1" si="6"/>
        <v/>
      </c>
      <c r="K154" s="740" t="str">
        <f t="shared" ca="1" si="7"/>
        <v/>
      </c>
      <c r="L154" s="740" t="str">
        <f t="shared" ca="1" si="8"/>
        <v/>
      </c>
      <c r="M154" s="264"/>
      <c r="N154" s="277"/>
      <c r="O154" s="278"/>
    </row>
    <row r="155" spans="1:15" ht="13.95" customHeight="1" x14ac:dyDescent="0.25">
      <c r="A155" s="169"/>
      <c r="B155" s="273"/>
      <c r="C155" s="378"/>
      <c r="D155" s="588" t="s">
        <v>378</v>
      </c>
      <c r="E155" s="952" t="e">
        <f ca="1">VLOOKUP($D155,Data!$C$2:$H$370,6,FALSE)</f>
        <v>#VALUE!</v>
      </c>
      <c r="F155" s="378"/>
      <c r="G155" s="588" t="s">
        <v>378</v>
      </c>
      <c r="H155" s="949" t="e">
        <f t="shared" ca="1" si="9"/>
        <v>#VALUE!</v>
      </c>
      <c r="I155" s="740" t="str">
        <f t="shared" ca="1" si="5"/>
        <v/>
      </c>
      <c r="J155" s="740" t="str">
        <f t="shared" ca="1" si="6"/>
        <v/>
      </c>
      <c r="K155" s="740" t="str">
        <f t="shared" ca="1" si="7"/>
        <v/>
      </c>
      <c r="L155" s="740" t="str">
        <f t="shared" ca="1" si="8"/>
        <v/>
      </c>
      <c r="M155" s="264"/>
      <c r="N155" s="277"/>
      <c r="O155" s="278"/>
    </row>
    <row r="156" spans="1:15" ht="13.95" customHeight="1" x14ac:dyDescent="0.25">
      <c r="A156" s="169"/>
      <c r="B156" s="273"/>
      <c r="C156" s="378"/>
      <c r="D156" s="588" t="s">
        <v>1094</v>
      </c>
      <c r="E156" s="952" t="e">
        <f ca="1">VLOOKUP($D156,Data!$C$2:$H$370,6,FALSE)</f>
        <v>#VALUE!</v>
      </c>
      <c r="F156" s="378"/>
      <c r="G156" s="588" t="s">
        <v>1094</v>
      </c>
      <c r="H156" s="949" t="e">
        <f t="shared" ca="1" si="9"/>
        <v>#VALUE!</v>
      </c>
      <c r="I156" s="740" t="str">
        <f t="shared" ca="1" si="5"/>
        <v/>
      </c>
      <c r="J156" s="740" t="str">
        <f t="shared" ca="1" si="6"/>
        <v/>
      </c>
      <c r="K156" s="740" t="str">
        <f t="shared" ca="1" si="7"/>
        <v/>
      </c>
      <c r="L156" s="740" t="str">
        <f t="shared" ca="1" si="8"/>
        <v/>
      </c>
      <c r="M156" s="264"/>
      <c r="N156" s="277"/>
      <c r="O156" s="278"/>
    </row>
    <row r="157" spans="1:15" ht="13.95" customHeight="1" x14ac:dyDescent="0.25">
      <c r="A157" s="169"/>
      <c r="B157" s="273"/>
      <c r="C157" s="378"/>
      <c r="D157" s="588" t="s">
        <v>1095</v>
      </c>
      <c r="E157" s="952" t="e">
        <f ca="1">VLOOKUP($D157,Data!$C$2:$H$370,6,FALSE)</f>
        <v>#VALUE!</v>
      </c>
      <c r="F157" s="378"/>
      <c r="G157" s="588" t="s">
        <v>1095</v>
      </c>
      <c r="H157" s="949" t="e">
        <f t="shared" ca="1" si="9"/>
        <v>#VALUE!</v>
      </c>
      <c r="I157" s="740" t="str">
        <f t="shared" ca="1" si="5"/>
        <v/>
      </c>
      <c r="J157" s="740" t="str">
        <f t="shared" ca="1" si="6"/>
        <v/>
      </c>
      <c r="K157" s="740" t="str">
        <f t="shared" ca="1" si="7"/>
        <v/>
      </c>
      <c r="L157" s="740" t="str">
        <f t="shared" ca="1" si="8"/>
        <v/>
      </c>
      <c r="M157" s="264"/>
      <c r="N157" s="277"/>
      <c r="O157" s="278"/>
    </row>
    <row r="158" spans="1:15" ht="13.95" customHeight="1" x14ac:dyDescent="0.25">
      <c r="A158" s="169"/>
      <c r="B158" s="273"/>
      <c r="C158" s="378"/>
      <c r="D158" s="588" t="s">
        <v>1096</v>
      </c>
      <c r="E158" s="952" t="e">
        <f ca="1">VLOOKUP($D158,Data!$C$2:$H$370,6,FALSE)</f>
        <v>#VALUE!</v>
      </c>
      <c r="F158" s="378"/>
      <c r="G158" s="588" t="s">
        <v>1096</v>
      </c>
      <c r="H158" s="949" t="e">
        <f t="shared" ca="1" si="9"/>
        <v>#VALUE!</v>
      </c>
      <c r="I158" s="740" t="str">
        <f t="shared" ca="1" si="5"/>
        <v/>
      </c>
      <c r="J158" s="740" t="str">
        <f t="shared" ca="1" si="6"/>
        <v/>
      </c>
      <c r="K158" s="740" t="str">
        <f t="shared" ca="1" si="7"/>
        <v/>
      </c>
      <c r="L158" s="740" t="str">
        <f t="shared" ca="1" si="8"/>
        <v/>
      </c>
      <c r="M158" s="264"/>
      <c r="N158" s="277"/>
      <c r="O158" s="278"/>
    </row>
    <row r="159" spans="1:15" ht="13.95" customHeight="1" x14ac:dyDescent="0.25">
      <c r="A159" s="169"/>
      <c r="B159" s="273"/>
      <c r="C159" s="378"/>
      <c r="D159" s="588" t="s">
        <v>1097</v>
      </c>
      <c r="E159" s="952" t="e">
        <f ca="1">VLOOKUP($D159,Data!$C$2:$H$370,6,FALSE)</f>
        <v>#VALUE!</v>
      </c>
      <c r="F159" s="378"/>
      <c r="G159" s="588" t="s">
        <v>1097</v>
      </c>
      <c r="H159" s="949" t="e">
        <f t="shared" ca="1" si="9"/>
        <v>#VALUE!</v>
      </c>
      <c r="I159" s="740" t="str">
        <f t="shared" ca="1" si="5"/>
        <v/>
      </c>
      <c r="J159" s="740" t="str">
        <f t="shared" ca="1" si="6"/>
        <v/>
      </c>
      <c r="K159" s="740" t="str">
        <f t="shared" ca="1" si="7"/>
        <v/>
      </c>
      <c r="L159" s="740" t="str">
        <f t="shared" ca="1" si="8"/>
        <v/>
      </c>
      <c r="M159" s="264"/>
      <c r="N159" s="277"/>
      <c r="O159" s="278"/>
    </row>
    <row r="160" spans="1:15" ht="13.95" customHeight="1" x14ac:dyDescent="0.25">
      <c r="A160" s="169"/>
      <c r="B160" s="273"/>
      <c r="C160" s="378"/>
      <c r="D160" s="588" t="s">
        <v>1098</v>
      </c>
      <c r="E160" s="952" t="e">
        <f ca="1">VLOOKUP($D160,Data!$C$2:$H$370,6,FALSE)</f>
        <v>#VALUE!</v>
      </c>
      <c r="F160" s="378"/>
      <c r="G160" s="588" t="s">
        <v>1098</v>
      </c>
      <c r="H160" s="949" t="e">
        <f t="shared" ca="1" si="9"/>
        <v>#VALUE!</v>
      </c>
      <c r="I160" s="740" t="str">
        <f t="shared" ca="1" si="5"/>
        <v/>
      </c>
      <c r="J160" s="740" t="str">
        <f t="shared" ca="1" si="6"/>
        <v/>
      </c>
      <c r="K160" s="740" t="str">
        <f t="shared" ca="1" si="7"/>
        <v/>
      </c>
      <c r="L160" s="740" t="str">
        <f t="shared" ca="1" si="8"/>
        <v/>
      </c>
      <c r="M160" s="264"/>
      <c r="N160" s="277"/>
      <c r="O160" s="278"/>
    </row>
    <row r="161" spans="1:15" ht="13.95" customHeight="1" x14ac:dyDescent="0.25">
      <c r="A161" s="169"/>
      <c r="B161" s="273"/>
      <c r="C161" s="378"/>
      <c r="D161" s="588" t="s">
        <v>1099</v>
      </c>
      <c r="E161" s="952" t="e">
        <f ca="1">VLOOKUP($D161,Data!$C$2:$H$370,6,FALSE)</f>
        <v>#VALUE!</v>
      </c>
      <c r="F161" s="378"/>
      <c r="G161" s="588" t="s">
        <v>1099</v>
      </c>
      <c r="H161" s="949" t="e">
        <f t="shared" ca="1" si="9"/>
        <v>#VALUE!</v>
      </c>
      <c r="I161" s="740" t="str">
        <f t="shared" ca="1" si="5"/>
        <v/>
      </c>
      <c r="J161" s="740" t="str">
        <f t="shared" ca="1" si="6"/>
        <v/>
      </c>
      <c r="K161" s="740" t="str">
        <f t="shared" ca="1" si="7"/>
        <v/>
      </c>
      <c r="L161" s="740" t="str">
        <f t="shared" ca="1" si="8"/>
        <v/>
      </c>
      <c r="M161" s="264"/>
      <c r="N161" s="277"/>
      <c r="O161" s="278"/>
    </row>
    <row r="162" spans="1:15" ht="13.95" customHeight="1" x14ac:dyDescent="0.25">
      <c r="A162" s="169"/>
      <c r="B162" s="273"/>
      <c r="C162" s="378"/>
      <c r="D162" s="588" t="s">
        <v>1100</v>
      </c>
      <c r="E162" s="952" t="e">
        <f ca="1">VLOOKUP($D162,Data!$C$2:$H$370,6,FALSE)</f>
        <v>#VALUE!</v>
      </c>
      <c r="F162" s="378"/>
      <c r="G162" s="588" t="s">
        <v>1100</v>
      </c>
      <c r="H162" s="949" t="e">
        <f t="shared" ca="1" si="9"/>
        <v>#VALUE!</v>
      </c>
      <c r="I162" s="740" t="str">
        <f t="shared" ca="1" si="5"/>
        <v/>
      </c>
      <c r="J162" s="740" t="str">
        <f t="shared" ca="1" si="6"/>
        <v/>
      </c>
      <c r="K162" s="740" t="str">
        <f t="shared" ca="1" si="7"/>
        <v/>
      </c>
      <c r="L162" s="740" t="str">
        <f t="shared" ca="1" si="8"/>
        <v/>
      </c>
      <c r="M162" s="264"/>
      <c r="N162" s="277"/>
      <c r="O162" s="278"/>
    </row>
    <row r="163" spans="1:15" ht="13.95" customHeight="1" x14ac:dyDescent="0.25">
      <c r="A163" s="169"/>
      <c r="B163" s="273"/>
      <c r="C163" s="378"/>
      <c r="D163" s="588" t="s">
        <v>89</v>
      </c>
      <c r="E163" s="952" t="e">
        <f ca="1">VLOOKUP($D163,Data!$C$2:$H$370,6,FALSE)</f>
        <v>#VALUE!</v>
      </c>
      <c r="F163" s="378"/>
      <c r="G163" s="588" t="s">
        <v>89</v>
      </c>
      <c r="H163" s="949" t="e">
        <f t="shared" ca="1" si="9"/>
        <v>#VALUE!</v>
      </c>
      <c r="I163" s="740" t="str">
        <f t="shared" ca="1" si="5"/>
        <v/>
      </c>
      <c r="J163" s="740" t="str">
        <f t="shared" ca="1" si="6"/>
        <v/>
      </c>
      <c r="K163" s="740" t="str">
        <f t="shared" ca="1" si="7"/>
        <v/>
      </c>
      <c r="L163" s="740" t="str">
        <f t="shared" ca="1" si="8"/>
        <v/>
      </c>
      <c r="M163" s="264"/>
      <c r="N163" s="277"/>
      <c r="O163" s="278"/>
    </row>
    <row r="164" spans="1:15" ht="13.95" customHeight="1" x14ac:dyDescent="0.25">
      <c r="A164" s="169"/>
      <c r="B164" s="273"/>
      <c r="C164" s="378"/>
      <c r="D164" s="588" t="s">
        <v>91</v>
      </c>
      <c r="E164" s="952" t="e">
        <f ca="1">VLOOKUP($D164,Data!$C$2:$H$370,6,FALSE)</f>
        <v>#VALUE!</v>
      </c>
      <c r="F164" s="378"/>
      <c r="G164" s="588" t="s">
        <v>91</v>
      </c>
      <c r="H164" s="949" t="e">
        <f t="shared" ca="1" si="9"/>
        <v>#VALUE!</v>
      </c>
      <c r="I164" s="740" t="str">
        <f t="shared" ca="1" si="5"/>
        <v/>
      </c>
      <c r="J164" s="740" t="str">
        <f t="shared" ca="1" si="6"/>
        <v/>
      </c>
      <c r="K164" s="740" t="str">
        <f t="shared" ca="1" si="7"/>
        <v/>
      </c>
      <c r="L164" s="740" t="str">
        <f t="shared" ca="1" si="8"/>
        <v/>
      </c>
      <c r="M164" s="264"/>
      <c r="N164" s="277"/>
      <c r="O164" s="278"/>
    </row>
    <row r="165" spans="1:15" ht="13.95" customHeight="1" x14ac:dyDescent="0.25">
      <c r="A165" s="169"/>
      <c r="B165" s="273"/>
      <c r="C165" s="378"/>
      <c r="D165" s="588" t="s">
        <v>92</v>
      </c>
      <c r="E165" s="952" t="e">
        <f ca="1">VLOOKUP($D165,Data!$C$2:$H$370,6,FALSE)</f>
        <v>#VALUE!</v>
      </c>
      <c r="F165" s="378"/>
      <c r="G165" s="588" t="s">
        <v>92</v>
      </c>
      <c r="H165" s="949" t="e">
        <f t="shared" ca="1" si="9"/>
        <v>#VALUE!</v>
      </c>
      <c r="I165" s="740" t="str">
        <f t="shared" ca="1" si="5"/>
        <v/>
      </c>
      <c r="J165" s="740" t="str">
        <f t="shared" ca="1" si="6"/>
        <v/>
      </c>
      <c r="K165" s="740" t="str">
        <f t="shared" ca="1" si="7"/>
        <v/>
      </c>
      <c r="L165" s="740" t="str">
        <f t="shared" ca="1" si="8"/>
        <v/>
      </c>
      <c r="M165" s="264"/>
      <c r="N165" s="277"/>
      <c r="O165" s="278"/>
    </row>
    <row r="166" spans="1:15" ht="13.95" customHeight="1" x14ac:dyDescent="0.25">
      <c r="A166" s="169"/>
      <c r="B166" s="273"/>
      <c r="C166" s="378"/>
      <c r="D166" s="588" t="s">
        <v>94</v>
      </c>
      <c r="E166" s="952" t="e">
        <f ca="1">VLOOKUP($D166,Data!$C$2:$H$370,6,FALSE)</f>
        <v>#VALUE!</v>
      </c>
      <c r="F166" s="378"/>
      <c r="G166" s="588" t="s">
        <v>94</v>
      </c>
      <c r="H166" s="949" t="e">
        <f t="shared" ca="1" si="9"/>
        <v>#VALUE!</v>
      </c>
      <c r="I166" s="740" t="str">
        <f t="shared" ca="1" si="5"/>
        <v/>
      </c>
      <c r="J166" s="740" t="str">
        <f t="shared" ca="1" si="6"/>
        <v/>
      </c>
      <c r="K166" s="740" t="str">
        <f t="shared" ca="1" si="7"/>
        <v/>
      </c>
      <c r="L166" s="740" t="str">
        <f t="shared" ca="1" si="8"/>
        <v/>
      </c>
      <c r="M166" s="264"/>
      <c r="N166" s="277"/>
      <c r="O166" s="278"/>
    </row>
    <row r="167" spans="1:15" ht="13.95" customHeight="1" x14ac:dyDescent="0.25">
      <c r="A167" s="169"/>
      <c r="B167" s="273"/>
      <c r="C167" s="378"/>
      <c r="D167" s="588" t="s">
        <v>96</v>
      </c>
      <c r="E167" s="952" t="e">
        <f ca="1">VLOOKUP($D167,Data!$C$2:$H$370,6,FALSE)</f>
        <v>#VALUE!</v>
      </c>
      <c r="F167" s="378"/>
      <c r="G167" s="588" t="s">
        <v>96</v>
      </c>
      <c r="H167" s="949" t="e">
        <f t="shared" ca="1" si="9"/>
        <v>#VALUE!</v>
      </c>
      <c r="I167" s="740" t="str">
        <f t="shared" ca="1" si="5"/>
        <v/>
      </c>
      <c r="J167" s="740" t="str">
        <f t="shared" ca="1" si="6"/>
        <v/>
      </c>
      <c r="K167" s="740" t="str">
        <f t="shared" ca="1" si="7"/>
        <v/>
      </c>
      <c r="L167" s="740" t="str">
        <f t="shared" ca="1" si="8"/>
        <v/>
      </c>
      <c r="M167" s="264"/>
      <c r="N167" s="277"/>
      <c r="O167" s="278"/>
    </row>
    <row r="168" spans="1:15" ht="13.95" customHeight="1" x14ac:dyDescent="0.25">
      <c r="A168" s="169"/>
      <c r="B168" s="273"/>
      <c r="C168" s="378"/>
      <c r="D168" s="588" t="s">
        <v>98</v>
      </c>
      <c r="E168" s="952" t="e">
        <f ca="1">VLOOKUP($D168,Data!$C$2:$H$370,6,FALSE)</f>
        <v>#VALUE!</v>
      </c>
      <c r="F168" s="378"/>
      <c r="G168" s="588" t="s">
        <v>98</v>
      </c>
      <c r="H168" s="949" t="e">
        <f t="shared" ca="1" si="9"/>
        <v>#VALUE!</v>
      </c>
      <c r="I168" s="740" t="str">
        <f t="shared" ca="1" si="5"/>
        <v/>
      </c>
      <c r="J168" s="740" t="str">
        <f t="shared" ca="1" si="6"/>
        <v/>
      </c>
      <c r="K168" s="740" t="str">
        <f t="shared" ca="1" si="7"/>
        <v/>
      </c>
      <c r="L168" s="740" t="str">
        <f t="shared" ca="1" si="8"/>
        <v/>
      </c>
      <c r="M168" s="264"/>
      <c r="N168" s="277"/>
      <c r="O168" s="278"/>
    </row>
    <row r="169" spans="1:15" ht="13.95" customHeight="1" x14ac:dyDescent="0.25">
      <c r="A169" s="169"/>
      <c r="B169" s="273"/>
      <c r="C169" s="378"/>
      <c r="D169" s="588" t="s">
        <v>1025</v>
      </c>
      <c r="E169" s="952" t="e">
        <f ca="1">VLOOKUP($D169,Data!$C$2:$H$370,6,FALSE)</f>
        <v>#VALUE!</v>
      </c>
      <c r="F169" s="378"/>
      <c r="G169" s="588" t="s">
        <v>1025</v>
      </c>
      <c r="H169" s="949" t="e">
        <f t="shared" ca="1" si="9"/>
        <v>#VALUE!</v>
      </c>
      <c r="I169" s="740" t="str">
        <f t="shared" ca="1" si="5"/>
        <v/>
      </c>
      <c r="J169" s="740" t="str">
        <f t="shared" ca="1" si="6"/>
        <v/>
      </c>
      <c r="K169" s="740" t="str">
        <f t="shared" ca="1" si="7"/>
        <v/>
      </c>
      <c r="L169" s="740" t="str">
        <f t="shared" ca="1" si="8"/>
        <v/>
      </c>
      <c r="M169" s="264"/>
      <c r="N169" s="277"/>
      <c r="O169" s="278"/>
    </row>
    <row r="170" spans="1:15" ht="13.95" customHeight="1" x14ac:dyDescent="0.25">
      <c r="A170" s="169"/>
      <c r="B170" s="273"/>
      <c r="C170" s="378"/>
      <c r="D170" s="588" t="s">
        <v>1026</v>
      </c>
      <c r="E170" s="952" t="e">
        <f ca="1">VLOOKUP($D170,Data!$C$2:$H$370,6,FALSE)</f>
        <v>#VALUE!</v>
      </c>
      <c r="F170" s="378"/>
      <c r="G170" s="588" t="s">
        <v>1026</v>
      </c>
      <c r="H170" s="949" t="e">
        <f t="shared" ca="1" si="9"/>
        <v>#VALUE!</v>
      </c>
      <c r="I170" s="740" t="str">
        <f t="shared" ca="1" si="5"/>
        <v/>
      </c>
      <c r="J170" s="740" t="str">
        <f t="shared" ca="1" si="6"/>
        <v/>
      </c>
      <c r="K170" s="740" t="str">
        <f t="shared" ca="1" si="7"/>
        <v/>
      </c>
      <c r="L170" s="740" t="str">
        <f t="shared" ca="1" si="8"/>
        <v/>
      </c>
      <c r="M170" s="264"/>
      <c r="N170" s="277"/>
      <c r="O170" s="278"/>
    </row>
    <row r="171" spans="1:15" ht="13.95" customHeight="1" x14ac:dyDescent="0.25">
      <c r="A171" s="169"/>
      <c r="B171" s="273"/>
      <c r="C171" s="378"/>
      <c r="D171" s="588" t="s">
        <v>1027</v>
      </c>
      <c r="E171" s="952" t="e">
        <f ca="1">VLOOKUP($D171,Data!$C$2:$H$370,6,FALSE)</f>
        <v>#VALUE!</v>
      </c>
      <c r="F171" s="378"/>
      <c r="G171" s="588" t="s">
        <v>1027</v>
      </c>
      <c r="H171" s="949" t="e">
        <f t="shared" ca="1" si="9"/>
        <v>#VALUE!</v>
      </c>
      <c r="I171" s="740" t="str">
        <f t="shared" ca="1" si="5"/>
        <v/>
      </c>
      <c r="J171" s="740" t="str">
        <f t="shared" ca="1" si="6"/>
        <v/>
      </c>
      <c r="K171" s="740" t="str">
        <f t="shared" ca="1" si="7"/>
        <v/>
      </c>
      <c r="L171" s="740" t="str">
        <f t="shared" ca="1" si="8"/>
        <v/>
      </c>
      <c r="M171" s="264"/>
      <c r="N171" s="277"/>
      <c r="O171" s="278"/>
    </row>
    <row r="172" spans="1:15" ht="13.95" customHeight="1" x14ac:dyDescent="0.25">
      <c r="A172" s="169"/>
      <c r="B172" s="273"/>
      <c r="C172" s="378"/>
      <c r="D172" s="588" t="s">
        <v>100</v>
      </c>
      <c r="E172" s="952" t="e">
        <f ca="1">VLOOKUP($D172,Data!$C$2:$H$370,6,FALSE)</f>
        <v>#VALUE!</v>
      </c>
      <c r="F172" s="378"/>
      <c r="G172" s="588" t="s">
        <v>100</v>
      </c>
      <c r="H172" s="949" t="e">
        <f t="shared" ca="1" si="9"/>
        <v>#VALUE!</v>
      </c>
      <c r="I172" s="740" t="str">
        <f t="shared" ca="1" si="5"/>
        <v/>
      </c>
      <c r="J172" s="740" t="str">
        <f t="shared" ca="1" si="6"/>
        <v/>
      </c>
      <c r="K172" s="740" t="str">
        <f t="shared" ca="1" si="7"/>
        <v/>
      </c>
      <c r="L172" s="740" t="str">
        <f t="shared" ca="1" si="8"/>
        <v/>
      </c>
      <c r="M172" s="264"/>
      <c r="N172" s="277"/>
      <c r="O172" s="278"/>
    </row>
    <row r="173" spans="1:15" ht="13.95" customHeight="1" x14ac:dyDescent="0.25">
      <c r="A173" s="169"/>
      <c r="B173" s="273"/>
      <c r="C173" s="378"/>
      <c r="D173" s="588" t="s">
        <v>101</v>
      </c>
      <c r="E173" s="952" t="e">
        <f ca="1">VLOOKUP($D173,Data!$C$2:$H$370,6,FALSE)</f>
        <v>#VALUE!</v>
      </c>
      <c r="F173" s="378"/>
      <c r="G173" s="588" t="s">
        <v>101</v>
      </c>
      <c r="H173" s="949" t="e">
        <f t="shared" ca="1" si="9"/>
        <v>#VALUE!</v>
      </c>
      <c r="I173" s="740" t="str">
        <f t="shared" ca="1" si="5"/>
        <v/>
      </c>
      <c r="J173" s="740" t="str">
        <f t="shared" ca="1" si="6"/>
        <v/>
      </c>
      <c r="K173" s="740" t="str">
        <f t="shared" ca="1" si="7"/>
        <v/>
      </c>
      <c r="L173" s="740" t="str">
        <f t="shared" ca="1" si="8"/>
        <v/>
      </c>
      <c r="M173" s="264"/>
      <c r="N173" s="277"/>
      <c r="O173" s="278"/>
    </row>
    <row r="174" spans="1:15" ht="13.95" customHeight="1" x14ac:dyDescent="0.25">
      <c r="A174" s="169"/>
      <c r="B174" s="273"/>
      <c r="C174" s="378"/>
      <c r="D174" s="588" t="s">
        <v>103</v>
      </c>
      <c r="E174" s="952" t="e">
        <f ca="1">VLOOKUP($D174,Data!$C$2:$H$370,6,FALSE)</f>
        <v>#VALUE!</v>
      </c>
      <c r="F174" s="378"/>
      <c r="G174" s="588" t="s">
        <v>103</v>
      </c>
      <c r="H174" s="949" t="e">
        <f t="shared" ca="1" si="9"/>
        <v>#VALUE!</v>
      </c>
      <c r="I174" s="740" t="str">
        <f t="shared" ca="1" si="5"/>
        <v/>
      </c>
      <c r="J174" s="740" t="str">
        <f t="shared" ca="1" si="6"/>
        <v/>
      </c>
      <c r="K174" s="740" t="str">
        <f t="shared" ca="1" si="7"/>
        <v/>
      </c>
      <c r="L174" s="740" t="str">
        <f t="shared" ca="1" si="8"/>
        <v/>
      </c>
      <c r="M174" s="264"/>
      <c r="N174" s="277"/>
      <c r="O174" s="278"/>
    </row>
    <row r="175" spans="1:15" ht="13.95" customHeight="1" x14ac:dyDescent="0.25">
      <c r="A175" s="169"/>
      <c r="B175" s="273"/>
      <c r="C175" s="378"/>
      <c r="D175" s="588" t="s">
        <v>105</v>
      </c>
      <c r="E175" s="952" t="e">
        <f ca="1">VLOOKUP($D175,Data!$C$2:$H$370,6,FALSE)</f>
        <v>#VALUE!</v>
      </c>
      <c r="F175" s="378"/>
      <c r="G175" s="588" t="s">
        <v>105</v>
      </c>
      <c r="H175" s="949" t="e">
        <f t="shared" ca="1" si="9"/>
        <v>#VALUE!</v>
      </c>
      <c r="I175" s="740" t="str">
        <f t="shared" ca="1" si="5"/>
        <v/>
      </c>
      <c r="J175" s="740" t="str">
        <f t="shared" ca="1" si="6"/>
        <v/>
      </c>
      <c r="K175" s="740" t="str">
        <f t="shared" ca="1" si="7"/>
        <v/>
      </c>
      <c r="L175" s="740" t="str">
        <f t="shared" ca="1" si="8"/>
        <v/>
      </c>
      <c r="M175" s="264"/>
      <c r="N175" s="277"/>
      <c r="O175" s="278"/>
    </row>
    <row r="176" spans="1:15" ht="13.95" customHeight="1" x14ac:dyDescent="0.25">
      <c r="A176" s="169"/>
      <c r="B176" s="273"/>
      <c r="C176" s="378"/>
      <c r="D176" s="588" t="s">
        <v>107</v>
      </c>
      <c r="E176" s="952" t="e">
        <f ca="1">VLOOKUP($D176,Data!$C$2:$H$370,6,FALSE)</f>
        <v>#VALUE!</v>
      </c>
      <c r="F176" s="378"/>
      <c r="G176" s="588" t="s">
        <v>107</v>
      </c>
      <c r="H176" s="949" t="e">
        <f t="shared" ca="1" si="9"/>
        <v>#VALUE!</v>
      </c>
      <c r="I176" s="740" t="str">
        <f t="shared" ca="1" si="5"/>
        <v/>
      </c>
      <c r="J176" s="740" t="str">
        <f t="shared" ca="1" si="6"/>
        <v/>
      </c>
      <c r="K176" s="740" t="str">
        <f t="shared" ca="1" si="7"/>
        <v/>
      </c>
      <c r="L176" s="740" t="str">
        <f t="shared" ca="1" si="8"/>
        <v/>
      </c>
      <c r="M176" s="264"/>
      <c r="N176" s="277"/>
      <c r="O176" s="278"/>
    </row>
    <row r="177" spans="1:15" ht="13.95" customHeight="1" x14ac:dyDescent="0.25">
      <c r="A177" s="169"/>
      <c r="B177" s="273"/>
      <c r="C177" s="378"/>
      <c r="D177" s="588" t="s">
        <v>108</v>
      </c>
      <c r="E177" s="952" t="e">
        <f ca="1">VLOOKUP($D177,Data!$C$2:$H$370,6,FALSE)</f>
        <v>#VALUE!</v>
      </c>
      <c r="F177" s="378"/>
      <c r="G177" s="588" t="s">
        <v>108</v>
      </c>
      <c r="H177" s="949" t="e">
        <f t="shared" ca="1" si="9"/>
        <v>#VALUE!</v>
      </c>
      <c r="I177" s="740" t="str">
        <f t="shared" ca="1" si="5"/>
        <v/>
      </c>
      <c r="J177" s="740" t="str">
        <f t="shared" ca="1" si="6"/>
        <v/>
      </c>
      <c r="K177" s="740" t="str">
        <f t="shared" ca="1" si="7"/>
        <v/>
      </c>
      <c r="L177" s="740" t="str">
        <f t="shared" ca="1" si="8"/>
        <v/>
      </c>
      <c r="M177" s="264"/>
      <c r="N177" s="277"/>
      <c r="O177" s="278"/>
    </row>
    <row r="178" spans="1:15" ht="13.95" customHeight="1" x14ac:dyDescent="0.25">
      <c r="A178" s="169"/>
      <c r="B178" s="273"/>
      <c r="C178" s="378"/>
      <c r="D178" s="588" t="s">
        <v>1028</v>
      </c>
      <c r="E178" s="952" t="e">
        <f ca="1">VLOOKUP($D178,Data!$C$2:$H$370,6,FALSE)</f>
        <v>#VALUE!</v>
      </c>
      <c r="F178" s="378"/>
      <c r="G178" s="588" t="s">
        <v>1028</v>
      </c>
      <c r="H178" s="949" t="e">
        <f t="shared" ca="1" si="9"/>
        <v>#VALUE!</v>
      </c>
      <c r="I178" s="740" t="str">
        <f t="shared" ca="1" si="5"/>
        <v/>
      </c>
      <c r="J178" s="740" t="str">
        <f t="shared" ca="1" si="6"/>
        <v/>
      </c>
      <c r="K178" s="740" t="str">
        <f t="shared" ca="1" si="7"/>
        <v/>
      </c>
      <c r="L178" s="740" t="str">
        <f t="shared" ca="1" si="8"/>
        <v/>
      </c>
      <c r="M178" s="264"/>
      <c r="N178" s="277"/>
      <c r="O178" s="278"/>
    </row>
    <row r="179" spans="1:15" ht="13.95" customHeight="1" x14ac:dyDescent="0.25">
      <c r="A179" s="169"/>
      <c r="B179" s="273"/>
      <c r="C179" s="378"/>
      <c r="D179" s="588" t="s">
        <v>1029</v>
      </c>
      <c r="E179" s="952" t="e">
        <f ca="1">VLOOKUP($D179,Data!$C$2:$H$370,6,FALSE)</f>
        <v>#VALUE!</v>
      </c>
      <c r="F179" s="378"/>
      <c r="G179" s="588" t="s">
        <v>1029</v>
      </c>
      <c r="H179" s="949" t="e">
        <f t="shared" ca="1" si="9"/>
        <v>#VALUE!</v>
      </c>
      <c r="I179" s="740" t="str">
        <f t="shared" ca="1" si="5"/>
        <v/>
      </c>
      <c r="J179" s="740" t="str">
        <f t="shared" ca="1" si="6"/>
        <v/>
      </c>
      <c r="K179" s="740" t="str">
        <f t="shared" ca="1" si="7"/>
        <v/>
      </c>
      <c r="L179" s="740" t="str">
        <f t="shared" ca="1" si="8"/>
        <v/>
      </c>
      <c r="M179" s="264"/>
      <c r="N179" s="277"/>
      <c r="O179" s="278"/>
    </row>
    <row r="180" spans="1:15" ht="13.95" customHeight="1" x14ac:dyDescent="0.25">
      <c r="A180" s="169"/>
      <c r="B180" s="273"/>
      <c r="C180" s="378"/>
      <c r="D180" s="588" t="s">
        <v>1030</v>
      </c>
      <c r="E180" s="952" t="e">
        <f ca="1">VLOOKUP($D180,Data!$C$2:$H$370,6,FALSE)</f>
        <v>#VALUE!</v>
      </c>
      <c r="F180" s="378"/>
      <c r="G180" s="588" t="s">
        <v>1030</v>
      </c>
      <c r="H180" s="949" t="e">
        <f t="shared" ca="1" si="9"/>
        <v>#VALUE!</v>
      </c>
      <c r="I180" s="740" t="str">
        <f t="shared" ca="1" si="5"/>
        <v/>
      </c>
      <c r="J180" s="740" t="str">
        <f t="shared" ca="1" si="6"/>
        <v/>
      </c>
      <c r="K180" s="740" t="str">
        <f t="shared" ca="1" si="7"/>
        <v/>
      </c>
      <c r="L180" s="740" t="str">
        <f t="shared" ca="1" si="8"/>
        <v/>
      </c>
      <c r="M180" s="264"/>
      <c r="N180" s="277"/>
      <c r="O180" s="278"/>
    </row>
    <row r="181" spans="1:15" ht="13.95" customHeight="1" x14ac:dyDescent="0.25">
      <c r="A181" s="169"/>
      <c r="B181" s="273"/>
      <c r="C181" s="378"/>
      <c r="D181" s="588" t="s">
        <v>111</v>
      </c>
      <c r="E181" s="952" t="e">
        <f ca="1">VLOOKUP($D181,Data!$C$2:$H$370,6,FALSE)</f>
        <v>#VALUE!</v>
      </c>
      <c r="F181" s="378"/>
      <c r="G181" s="588" t="s">
        <v>111</v>
      </c>
      <c r="H181" s="949" t="e">
        <f t="shared" ca="1" si="9"/>
        <v>#VALUE!</v>
      </c>
      <c r="I181" s="740" t="str">
        <f t="shared" ca="1" si="5"/>
        <v/>
      </c>
      <c r="J181" s="740" t="str">
        <f t="shared" ca="1" si="6"/>
        <v/>
      </c>
      <c r="K181" s="740" t="str">
        <f t="shared" ca="1" si="7"/>
        <v/>
      </c>
      <c r="L181" s="740" t="str">
        <f t="shared" ca="1" si="8"/>
        <v/>
      </c>
      <c r="M181" s="264"/>
      <c r="N181" s="277"/>
      <c r="O181" s="278"/>
    </row>
    <row r="182" spans="1:15" ht="13.95" customHeight="1" x14ac:dyDescent="0.25">
      <c r="A182" s="169"/>
      <c r="B182" s="273"/>
      <c r="C182" s="378"/>
      <c r="D182" s="588" t="s">
        <v>113</v>
      </c>
      <c r="E182" s="952" t="e">
        <f ca="1">VLOOKUP($D182,Data!$C$2:$H$370,6,FALSE)</f>
        <v>#VALUE!</v>
      </c>
      <c r="F182" s="378"/>
      <c r="G182" s="588" t="s">
        <v>113</v>
      </c>
      <c r="H182" s="949" t="e">
        <f t="shared" ca="1" si="9"/>
        <v>#VALUE!</v>
      </c>
      <c r="I182" s="740" t="str">
        <f t="shared" ca="1" si="5"/>
        <v/>
      </c>
      <c r="J182" s="740" t="str">
        <f t="shared" ca="1" si="6"/>
        <v/>
      </c>
      <c r="K182" s="740" t="str">
        <f t="shared" ca="1" si="7"/>
        <v/>
      </c>
      <c r="L182" s="740" t="str">
        <f t="shared" ca="1" si="8"/>
        <v/>
      </c>
      <c r="M182" s="264"/>
      <c r="N182" s="277"/>
      <c r="O182" s="278"/>
    </row>
    <row r="183" spans="1:15" ht="13.95" customHeight="1" x14ac:dyDescent="0.25">
      <c r="A183" s="169"/>
      <c r="B183" s="273"/>
      <c r="C183" s="378"/>
      <c r="D183" s="588" t="s">
        <v>115</v>
      </c>
      <c r="E183" s="952" t="e">
        <f ca="1">VLOOKUP($D183,Data!$C$2:$H$370,6,FALSE)</f>
        <v>#VALUE!</v>
      </c>
      <c r="F183" s="378"/>
      <c r="G183" s="588" t="s">
        <v>115</v>
      </c>
      <c r="H183" s="949" t="e">
        <f t="shared" ca="1" si="9"/>
        <v>#VALUE!</v>
      </c>
      <c r="I183" s="740" t="str">
        <f t="shared" ca="1" si="5"/>
        <v/>
      </c>
      <c r="J183" s="740" t="str">
        <f t="shared" ca="1" si="6"/>
        <v/>
      </c>
      <c r="K183" s="740" t="str">
        <f t="shared" ca="1" si="7"/>
        <v/>
      </c>
      <c r="L183" s="740" t="str">
        <f t="shared" ca="1" si="8"/>
        <v/>
      </c>
      <c r="M183" s="264"/>
      <c r="N183" s="277"/>
      <c r="O183" s="278"/>
    </row>
    <row r="184" spans="1:15" ht="13.95" customHeight="1" x14ac:dyDescent="0.25">
      <c r="A184" s="169"/>
      <c r="B184" s="273"/>
      <c r="C184" s="378"/>
      <c r="D184" s="588" t="s">
        <v>117</v>
      </c>
      <c r="E184" s="952" t="e">
        <f ca="1">VLOOKUP($D184,Data!$C$2:$H$370,6,FALSE)</f>
        <v>#VALUE!</v>
      </c>
      <c r="F184" s="378"/>
      <c r="G184" s="588" t="s">
        <v>117</v>
      </c>
      <c r="H184" s="949" t="e">
        <f t="shared" ca="1" si="9"/>
        <v>#VALUE!</v>
      </c>
      <c r="I184" s="740" t="str">
        <f t="shared" ca="1" si="5"/>
        <v/>
      </c>
      <c r="J184" s="740" t="str">
        <f t="shared" ca="1" si="6"/>
        <v/>
      </c>
      <c r="K184" s="740" t="str">
        <f t="shared" ca="1" si="7"/>
        <v/>
      </c>
      <c r="L184" s="740" t="str">
        <f t="shared" ca="1" si="8"/>
        <v/>
      </c>
      <c r="M184" s="264"/>
      <c r="N184" s="277"/>
      <c r="O184" s="278"/>
    </row>
    <row r="185" spans="1:15" ht="13.95" customHeight="1" x14ac:dyDescent="0.25">
      <c r="A185" s="169"/>
      <c r="B185" s="273"/>
      <c r="C185" s="378"/>
      <c r="D185" s="588" t="s">
        <v>119</v>
      </c>
      <c r="E185" s="952" t="e">
        <f ca="1">VLOOKUP($D185,Data!$C$2:$H$370,6,FALSE)</f>
        <v>#VALUE!</v>
      </c>
      <c r="F185" s="378"/>
      <c r="G185" s="588" t="s">
        <v>119</v>
      </c>
      <c r="H185" s="949" t="e">
        <f t="shared" ca="1" si="9"/>
        <v>#VALUE!</v>
      </c>
      <c r="I185" s="740" t="str">
        <f t="shared" ca="1" si="5"/>
        <v/>
      </c>
      <c r="J185" s="740" t="str">
        <f t="shared" ca="1" si="6"/>
        <v/>
      </c>
      <c r="K185" s="740" t="str">
        <f t="shared" ca="1" si="7"/>
        <v/>
      </c>
      <c r="L185" s="740" t="str">
        <f t="shared" ca="1" si="8"/>
        <v/>
      </c>
      <c r="M185" s="264"/>
      <c r="N185" s="277"/>
      <c r="O185" s="278"/>
    </row>
    <row r="186" spans="1:15" ht="13.95" customHeight="1" x14ac:dyDescent="0.25">
      <c r="A186" s="169"/>
      <c r="B186" s="273"/>
      <c r="C186" s="378"/>
      <c r="D186" s="588" t="s">
        <v>120</v>
      </c>
      <c r="E186" s="952" t="e">
        <f ca="1">VLOOKUP($D186,Data!$C$2:$H$370,6,FALSE)</f>
        <v>#VALUE!</v>
      </c>
      <c r="F186" s="378"/>
      <c r="G186" s="588" t="s">
        <v>120</v>
      </c>
      <c r="H186" s="949" t="e">
        <f t="shared" ca="1" si="9"/>
        <v>#VALUE!</v>
      </c>
      <c r="I186" s="740" t="str">
        <f t="shared" ca="1" si="5"/>
        <v/>
      </c>
      <c r="J186" s="740" t="str">
        <f t="shared" ca="1" si="6"/>
        <v/>
      </c>
      <c r="K186" s="740" t="str">
        <f t="shared" ca="1" si="7"/>
        <v/>
      </c>
      <c r="L186" s="740" t="str">
        <f t="shared" ca="1" si="8"/>
        <v/>
      </c>
      <c r="M186" s="264"/>
      <c r="N186" s="277"/>
      <c r="O186" s="278"/>
    </row>
    <row r="187" spans="1:15" ht="13.95" customHeight="1" x14ac:dyDescent="0.25">
      <c r="A187" s="169"/>
      <c r="B187" s="273"/>
      <c r="C187" s="378"/>
      <c r="D187" s="588" t="s">
        <v>122</v>
      </c>
      <c r="E187" s="952" t="e">
        <f ca="1">VLOOKUP($D187,Data!$C$2:$H$370,6,FALSE)</f>
        <v>#VALUE!</v>
      </c>
      <c r="F187" s="378"/>
      <c r="G187" s="588" t="s">
        <v>122</v>
      </c>
      <c r="H187" s="949" t="e">
        <f t="shared" ca="1" si="9"/>
        <v>#VALUE!</v>
      </c>
      <c r="I187" s="740" t="str">
        <f t="shared" ca="1" si="5"/>
        <v/>
      </c>
      <c r="J187" s="740" t="str">
        <f t="shared" ca="1" si="6"/>
        <v/>
      </c>
      <c r="K187" s="740" t="str">
        <f t="shared" ca="1" si="7"/>
        <v/>
      </c>
      <c r="L187" s="740" t="str">
        <f t="shared" ca="1" si="8"/>
        <v/>
      </c>
      <c r="M187" s="264"/>
      <c r="N187" s="277"/>
      <c r="O187" s="278"/>
    </row>
    <row r="188" spans="1:15" ht="13.95" customHeight="1" x14ac:dyDescent="0.25">
      <c r="A188" s="169"/>
      <c r="B188" s="273"/>
      <c r="C188" s="378"/>
      <c r="D188" s="588" t="s">
        <v>125</v>
      </c>
      <c r="E188" s="952" t="e">
        <f ca="1">VLOOKUP($D188,Data!$C$2:$H$370,6,FALSE)</f>
        <v>#VALUE!</v>
      </c>
      <c r="F188" s="378"/>
      <c r="G188" s="588" t="s">
        <v>125</v>
      </c>
      <c r="H188" s="949" t="e">
        <f t="shared" ca="1" si="9"/>
        <v>#VALUE!</v>
      </c>
      <c r="I188" s="740" t="str">
        <f t="shared" ca="1" si="5"/>
        <v/>
      </c>
      <c r="J188" s="740" t="str">
        <f t="shared" ca="1" si="6"/>
        <v/>
      </c>
      <c r="K188" s="740" t="str">
        <f t="shared" ca="1" si="7"/>
        <v/>
      </c>
      <c r="L188" s="740" t="str">
        <f t="shared" ca="1" si="8"/>
        <v/>
      </c>
      <c r="M188" s="264"/>
      <c r="N188" s="277"/>
      <c r="O188" s="278"/>
    </row>
    <row r="189" spans="1:15" ht="13.95" customHeight="1" x14ac:dyDescent="0.25">
      <c r="A189" s="169"/>
      <c r="B189" s="273"/>
      <c r="C189" s="378"/>
      <c r="D189" s="588" t="s">
        <v>128</v>
      </c>
      <c r="E189" s="952" t="e">
        <f ca="1">VLOOKUP($D189,Data!$C$2:$H$370,6,FALSE)</f>
        <v>#VALUE!</v>
      </c>
      <c r="F189" s="378"/>
      <c r="G189" s="588" t="s">
        <v>128</v>
      </c>
      <c r="H189" s="949" t="e">
        <f t="shared" ca="1" si="9"/>
        <v>#VALUE!</v>
      </c>
      <c r="I189" s="740" t="str">
        <f t="shared" ca="1" si="5"/>
        <v/>
      </c>
      <c r="J189" s="740" t="str">
        <f t="shared" ca="1" si="6"/>
        <v/>
      </c>
      <c r="K189" s="740" t="str">
        <f t="shared" ca="1" si="7"/>
        <v/>
      </c>
      <c r="L189" s="740" t="str">
        <f t="shared" ca="1" si="8"/>
        <v/>
      </c>
      <c r="M189" s="264"/>
      <c r="N189" s="277"/>
      <c r="O189" s="278"/>
    </row>
    <row r="190" spans="1:15" ht="13.95" customHeight="1" x14ac:dyDescent="0.25">
      <c r="A190" s="169"/>
      <c r="B190" s="273"/>
      <c r="C190" s="378"/>
      <c r="D190" s="588" t="s">
        <v>131</v>
      </c>
      <c r="E190" s="952" t="e">
        <f ca="1">VLOOKUP($D190,Data!$C$2:$H$370,6,FALSE)</f>
        <v>#VALUE!</v>
      </c>
      <c r="F190" s="378"/>
      <c r="G190" s="588" t="s">
        <v>131</v>
      </c>
      <c r="H190" s="949" t="e">
        <f t="shared" ca="1" si="9"/>
        <v>#VALUE!</v>
      </c>
      <c r="I190" s="740" t="str">
        <f t="shared" ca="1" si="5"/>
        <v/>
      </c>
      <c r="J190" s="740" t="str">
        <f t="shared" ca="1" si="6"/>
        <v/>
      </c>
      <c r="K190" s="740" t="str">
        <f t="shared" ca="1" si="7"/>
        <v/>
      </c>
      <c r="L190" s="740" t="str">
        <f t="shared" ca="1" si="8"/>
        <v/>
      </c>
      <c r="M190" s="264"/>
      <c r="N190" s="277"/>
      <c r="O190" s="278"/>
    </row>
    <row r="191" spans="1:15" ht="13.95" customHeight="1" x14ac:dyDescent="0.25">
      <c r="A191" s="169"/>
      <c r="B191" s="273"/>
      <c r="C191" s="378"/>
      <c r="D191" s="588" t="s">
        <v>134</v>
      </c>
      <c r="E191" s="952" t="e">
        <f ca="1">VLOOKUP($D191,Data!$C$2:$H$370,6,FALSE)</f>
        <v>#VALUE!</v>
      </c>
      <c r="F191" s="378"/>
      <c r="G191" s="588" t="s">
        <v>134</v>
      </c>
      <c r="H191" s="949" t="e">
        <f t="shared" ca="1" si="9"/>
        <v>#VALUE!</v>
      </c>
      <c r="I191" s="740" t="str">
        <f t="shared" ca="1" si="5"/>
        <v/>
      </c>
      <c r="J191" s="740" t="str">
        <f t="shared" ca="1" si="6"/>
        <v/>
      </c>
      <c r="K191" s="740" t="str">
        <f t="shared" ca="1" si="7"/>
        <v/>
      </c>
      <c r="L191" s="740" t="str">
        <f t="shared" ca="1" si="8"/>
        <v/>
      </c>
      <c r="M191" s="264"/>
      <c r="N191" s="277"/>
      <c r="O191" s="278"/>
    </row>
    <row r="192" spans="1:15" ht="13.95" customHeight="1" x14ac:dyDescent="0.25">
      <c r="A192" s="169"/>
      <c r="B192" s="273"/>
      <c r="C192" s="378"/>
      <c r="D192" s="588" t="s">
        <v>136</v>
      </c>
      <c r="E192" s="952" t="e">
        <f ca="1">VLOOKUP($D192,Data!$C$2:$H$370,6,FALSE)</f>
        <v>#VALUE!</v>
      </c>
      <c r="F192" s="378"/>
      <c r="G192" s="588" t="s">
        <v>136</v>
      </c>
      <c r="H192" s="949" t="e">
        <f t="shared" ca="1" si="9"/>
        <v>#VALUE!</v>
      </c>
      <c r="I192" s="740" t="str">
        <f t="shared" ca="1" si="5"/>
        <v/>
      </c>
      <c r="J192" s="740" t="str">
        <f t="shared" ca="1" si="6"/>
        <v/>
      </c>
      <c r="K192" s="740" t="str">
        <f t="shared" ca="1" si="7"/>
        <v/>
      </c>
      <c r="L192" s="740" t="str">
        <f t="shared" ca="1" si="8"/>
        <v/>
      </c>
      <c r="M192" s="264"/>
      <c r="N192" s="277"/>
      <c r="O192" s="278"/>
    </row>
    <row r="193" spans="1:15" ht="13.95" customHeight="1" x14ac:dyDescent="0.25">
      <c r="A193" s="169"/>
      <c r="B193" s="273"/>
      <c r="C193" s="378"/>
      <c r="D193" s="588" t="s">
        <v>139</v>
      </c>
      <c r="E193" s="952" t="e">
        <f ca="1">VLOOKUP($D193,Data!$C$2:$H$370,6,FALSE)</f>
        <v>#VALUE!</v>
      </c>
      <c r="F193" s="378"/>
      <c r="G193" s="588" t="s">
        <v>139</v>
      </c>
      <c r="H193" s="949" t="e">
        <f t="shared" ca="1" si="9"/>
        <v>#VALUE!</v>
      </c>
      <c r="I193" s="740" t="str">
        <f t="shared" ca="1" si="5"/>
        <v/>
      </c>
      <c r="J193" s="740" t="str">
        <f t="shared" ca="1" si="6"/>
        <v/>
      </c>
      <c r="K193" s="740" t="str">
        <f t="shared" ca="1" si="7"/>
        <v/>
      </c>
      <c r="L193" s="740" t="str">
        <f t="shared" ca="1" si="8"/>
        <v/>
      </c>
      <c r="M193" s="264"/>
      <c r="N193" s="277"/>
      <c r="O193" s="278"/>
    </row>
    <row r="194" spans="1:15" ht="13.95" customHeight="1" x14ac:dyDescent="0.25">
      <c r="A194" s="169"/>
      <c r="B194" s="273"/>
      <c r="C194" s="378"/>
      <c r="D194" s="588" t="s">
        <v>142</v>
      </c>
      <c r="E194" s="952" t="e">
        <f ca="1">VLOOKUP($D194,Data!$C$2:$H$370,6,FALSE)</f>
        <v>#VALUE!</v>
      </c>
      <c r="F194" s="378"/>
      <c r="G194" s="588" t="s">
        <v>142</v>
      </c>
      <c r="H194" s="949" t="e">
        <f t="shared" ca="1" si="9"/>
        <v>#VALUE!</v>
      </c>
      <c r="I194" s="740" t="str">
        <f t="shared" ca="1" si="5"/>
        <v/>
      </c>
      <c r="J194" s="740" t="str">
        <f t="shared" ca="1" si="6"/>
        <v/>
      </c>
      <c r="K194" s="740" t="str">
        <f t="shared" ca="1" si="7"/>
        <v/>
      </c>
      <c r="L194" s="740" t="str">
        <f t="shared" ca="1" si="8"/>
        <v/>
      </c>
      <c r="M194" s="264"/>
      <c r="N194" s="277"/>
      <c r="O194" s="278"/>
    </row>
    <row r="195" spans="1:15" ht="13.95" customHeight="1" x14ac:dyDescent="0.25">
      <c r="A195" s="169"/>
      <c r="B195" s="273"/>
      <c r="C195" s="378"/>
      <c r="D195" s="588" t="s">
        <v>145</v>
      </c>
      <c r="E195" s="952" t="e">
        <f ca="1">VLOOKUP($D195,Data!$C$2:$H$370,6,FALSE)</f>
        <v>#VALUE!</v>
      </c>
      <c r="F195" s="378"/>
      <c r="G195" s="588" t="s">
        <v>145</v>
      </c>
      <c r="H195" s="949" t="e">
        <f t="shared" ca="1" si="9"/>
        <v>#VALUE!</v>
      </c>
      <c r="I195" s="740" t="str">
        <f t="shared" ca="1" si="5"/>
        <v/>
      </c>
      <c r="J195" s="740" t="str">
        <f t="shared" ca="1" si="6"/>
        <v/>
      </c>
      <c r="K195" s="740" t="str">
        <f t="shared" ca="1" si="7"/>
        <v/>
      </c>
      <c r="L195" s="740" t="str">
        <f t="shared" ca="1" si="8"/>
        <v/>
      </c>
      <c r="M195" s="264"/>
      <c r="N195" s="277"/>
      <c r="O195" s="278"/>
    </row>
    <row r="196" spans="1:15" ht="13.95" customHeight="1" x14ac:dyDescent="0.25">
      <c r="A196" s="169"/>
      <c r="B196" s="273"/>
      <c r="C196" s="378"/>
      <c r="D196" s="588" t="s">
        <v>148</v>
      </c>
      <c r="E196" s="952" t="e">
        <f ca="1">VLOOKUP($D196,Data!$C$2:$H$370,6,FALSE)</f>
        <v>#VALUE!</v>
      </c>
      <c r="F196" s="378"/>
      <c r="G196" s="588" t="s">
        <v>148</v>
      </c>
      <c r="H196" s="949" t="e">
        <f t="shared" ca="1" si="9"/>
        <v>#VALUE!</v>
      </c>
      <c r="I196" s="740" t="str">
        <f t="shared" ca="1" si="5"/>
        <v/>
      </c>
      <c r="J196" s="740" t="str">
        <f t="shared" ca="1" si="6"/>
        <v/>
      </c>
      <c r="K196" s="740" t="str">
        <f t="shared" ca="1" si="7"/>
        <v/>
      </c>
      <c r="L196" s="740" t="str">
        <f t="shared" ca="1" si="8"/>
        <v/>
      </c>
      <c r="M196" s="264"/>
      <c r="N196" s="277"/>
      <c r="O196" s="278"/>
    </row>
    <row r="197" spans="1:15" ht="13.95" customHeight="1" x14ac:dyDescent="0.25">
      <c r="A197" s="169"/>
      <c r="B197" s="273"/>
      <c r="C197" s="378"/>
      <c r="D197" s="588" t="s">
        <v>150</v>
      </c>
      <c r="E197" s="952" t="e">
        <f ca="1">VLOOKUP($D197,Data!$C$2:$H$370,6,FALSE)</f>
        <v>#VALUE!</v>
      </c>
      <c r="F197" s="378"/>
      <c r="G197" s="588" t="s">
        <v>150</v>
      </c>
      <c r="H197" s="949" t="e">
        <f t="shared" ca="1" si="9"/>
        <v>#VALUE!</v>
      </c>
      <c r="I197" s="740" t="str">
        <f t="shared" ca="1" si="5"/>
        <v/>
      </c>
      <c r="J197" s="740" t="str">
        <f t="shared" ca="1" si="6"/>
        <v/>
      </c>
      <c r="K197" s="740" t="str">
        <f t="shared" ca="1" si="7"/>
        <v/>
      </c>
      <c r="L197" s="740" t="str">
        <f t="shared" ca="1" si="8"/>
        <v/>
      </c>
      <c r="M197" s="264"/>
      <c r="N197" s="277"/>
      <c r="O197" s="278"/>
    </row>
    <row r="198" spans="1:15" ht="13.95" customHeight="1" x14ac:dyDescent="0.25">
      <c r="A198" s="169"/>
      <c r="B198" s="273"/>
      <c r="C198" s="378"/>
      <c r="D198" s="588" t="s">
        <v>152</v>
      </c>
      <c r="E198" s="952" t="e">
        <f ca="1">VLOOKUP($D198,Data!$C$2:$H$370,6,FALSE)</f>
        <v>#VALUE!</v>
      </c>
      <c r="F198" s="378"/>
      <c r="G198" s="588" t="s">
        <v>152</v>
      </c>
      <c r="H198" s="949" t="e">
        <f t="shared" ca="1" si="9"/>
        <v>#VALUE!</v>
      </c>
      <c r="I198" s="740" t="str">
        <f t="shared" ca="1" si="5"/>
        <v/>
      </c>
      <c r="J198" s="740" t="str">
        <f t="shared" ca="1" si="6"/>
        <v/>
      </c>
      <c r="K198" s="740" t="str">
        <f t="shared" ca="1" si="7"/>
        <v/>
      </c>
      <c r="L198" s="740" t="str">
        <f t="shared" ca="1" si="8"/>
        <v/>
      </c>
      <c r="M198" s="264"/>
      <c r="N198" s="277"/>
      <c r="O198" s="278"/>
    </row>
    <row r="199" spans="1:15" ht="13.95" customHeight="1" x14ac:dyDescent="0.25">
      <c r="A199" s="169"/>
      <c r="B199" s="273"/>
      <c r="C199" s="378"/>
      <c r="D199" s="588" t="s">
        <v>419</v>
      </c>
      <c r="E199" s="952" t="e">
        <f ca="1">VLOOKUP($D199,Data!$C$2:$H$370,6,FALSE)</f>
        <v>#VALUE!</v>
      </c>
      <c r="F199" s="378"/>
      <c r="G199" s="588" t="s">
        <v>419</v>
      </c>
      <c r="H199" s="949" t="e">
        <f t="shared" ca="1" si="9"/>
        <v>#VALUE!</v>
      </c>
      <c r="I199" s="740" t="str">
        <f t="shared" ca="1" si="5"/>
        <v/>
      </c>
      <c r="J199" s="740" t="str">
        <f t="shared" ca="1" si="6"/>
        <v/>
      </c>
      <c r="K199" s="740" t="str">
        <f t="shared" ca="1" si="7"/>
        <v/>
      </c>
      <c r="L199" s="740" t="str">
        <f t="shared" ca="1" si="8"/>
        <v/>
      </c>
      <c r="M199" s="264"/>
      <c r="N199" s="277"/>
      <c r="O199" s="278"/>
    </row>
    <row r="200" spans="1:15" ht="13.95" customHeight="1" x14ac:dyDescent="0.25">
      <c r="A200" s="169"/>
      <c r="B200" s="273"/>
      <c r="C200" s="378"/>
      <c r="D200" s="588" t="s">
        <v>420</v>
      </c>
      <c r="E200" s="952" t="e">
        <f ca="1">VLOOKUP($D200,Data!$C$2:$H$370,6,FALSE)</f>
        <v>#VALUE!</v>
      </c>
      <c r="F200" s="378"/>
      <c r="G200" s="588" t="s">
        <v>420</v>
      </c>
      <c r="H200" s="949" t="e">
        <f t="shared" ca="1" si="9"/>
        <v>#VALUE!</v>
      </c>
      <c r="I200" s="740" t="str">
        <f t="shared" ca="1" si="5"/>
        <v/>
      </c>
      <c r="J200" s="740" t="str">
        <f t="shared" ca="1" si="6"/>
        <v/>
      </c>
      <c r="K200" s="740" t="str">
        <f t="shared" ca="1" si="7"/>
        <v/>
      </c>
      <c r="L200" s="740" t="str">
        <f t="shared" ca="1" si="8"/>
        <v/>
      </c>
      <c r="M200" s="264"/>
      <c r="N200" s="277"/>
      <c r="O200" s="278"/>
    </row>
    <row r="201" spans="1:15" ht="13.95" customHeight="1" x14ac:dyDescent="0.25">
      <c r="A201" s="169"/>
      <c r="B201" s="273"/>
      <c r="C201" s="378"/>
      <c r="D201" s="588" t="s">
        <v>421</v>
      </c>
      <c r="E201" s="952" t="e">
        <f ca="1">VLOOKUP($D201,Data!$C$2:$H$370,6,FALSE)</f>
        <v>#VALUE!</v>
      </c>
      <c r="F201" s="378"/>
      <c r="G201" s="588" t="s">
        <v>421</v>
      </c>
      <c r="H201" s="949" t="e">
        <f t="shared" ca="1" si="9"/>
        <v>#VALUE!</v>
      </c>
      <c r="I201" s="740" t="str">
        <f t="shared" ca="1" si="5"/>
        <v/>
      </c>
      <c r="J201" s="740" t="str">
        <f t="shared" ca="1" si="6"/>
        <v/>
      </c>
      <c r="K201" s="740" t="str">
        <f t="shared" ca="1" si="7"/>
        <v/>
      </c>
      <c r="L201" s="740" t="str">
        <f t="shared" ca="1" si="8"/>
        <v/>
      </c>
      <c r="M201" s="264"/>
      <c r="N201" s="277"/>
      <c r="O201" s="278"/>
    </row>
    <row r="202" spans="1:15" ht="13.95" customHeight="1" x14ac:dyDescent="0.25">
      <c r="A202" s="169"/>
      <c r="B202" s="273"/>
      <c r="C202" s="378"/>
      <c r="D202" s="588" t="s">
        <v>422</v>
      </c>
      <c r="E202" s="952" t="e">
        <f ca="1">VLOOKUP($D202,Data!$C$2:$H$370,6,FALSE)</f>
        <v>#VALUE!</v>
      </c>
      <c r="F202" s="378"/>
      <c r="G202" s="588" t="s">
        <v>422</v>
      </c>
      <c r="H202" s="949" t="e">
        <f t="shared" ca="1" si="9"/>
        <v>#VALUE!</v>
      </c>
      <c r="I202" s="740" t="str">
        <f t="shared" ca="1" si="5"/>
        <v/>
      </c>
      <c r="J202" s="740" t="str">
        <f t="shared" ca="1" si="6"/>
        <v/>
      </c>
      <c r="K202" s="740" t="str">
        <f t="shared" ca="1" si="7"/>
        <v/>
      </c>
      <c r="L202" s="740" t="str">
        <f t="shared" ca="1" si="8"/>
        <v/>
      </c>
      <c r="M202" s="264"/>
      <c r="N202" s="277"/>
      <c r="O202" s="278"/>
    </row>
    <row r="203" spans="1:15" ht="13.95" customHeight="1" x14ac:dyDescent="0.25">
      <c r="A203" s="169"/>
      <c r="B203" s="273"/>
      <c r="C203" s="378"/>
      <c r="D203" s="588" t="s">
        <v>423</v>
      </c>
      <c r="E203" s="952" t="e">
        <f ca="1">VLOOKUP($D203,Data!$C$2:$H$370,6,FALSE)</f>
        <v>#VALUE!</v>
      </c>
      <c r="F203" s="378"/>
      <c r="G203" s="588" t="s">
        <v>423</v>
      </c>
      <c r="H203" s="949" t="e">
        <f t="shared" ca="1" si="9"/>
        <v>#VALUE!</v>
      </c>
      <c r="I203" s="740" t="str">
        <f t="shared" ca="1" si="5"/>
        <v/>
      </c>
      <c r="J203" s="740" t="str">
        <f t="shared" ca="1" si="6"/>
        <v/>
      </c>
      <c r="K203" s="740" t="str">
        <f t="shared" ca="1" si="7"/>
        <v/>
      </c>
      <c r="L203" s="740" t="str">
        <f t="shared" ca="1" si="8"/>
        <v/>
      </c>
      <c r="M203" s="264"/>
      <c r="N203" s="277"/>
      <c r="O203" s="278"/>
    </row>
    <row r="204" spans="1:15" ht="13.95" customHeight="1" x14ac:dyDescent="0.25">
      <c r="A204" s="169"/>
      <c r="B204" s="273"/>
      <c r="C204" s="378"/>
      <c r="D204" s="588" t="s">
        <v>424</v>
      </c>
      <c r="E204" s="952" t="e">
        <f ca="1">VLOOKUP($D204,Data!$C$2:$H$370,6,FALSE)</f>
        <v>#VALUE!</v>
      </c>
      <c r="F204" s="378"/>
      <c r="G204" s="588" t="s">
        <v>424</v>
      </c>
      <c r="H204" s="949" t="e">
        <f t="shared" ca="1" si="9"/>
        <v>#VALUE!</v>
      </c>
      <c r="I204" s="740" t="str">
        <f t="shared" ca="1" si="5"/>
        <v/>
      </c>
      <c r="J204" s="740" t="str">
        <f t="shared" ca="1" si="6"/>
        <v/>
      </c>
      <c r="K204" s="740" t="str">
        <f t="shared" ca="1" si="7"/>
        <v/>
      </c>
      <c r="L204" s="740" t="str">
        <f t="shared" ca="1" si="8"/>
        <v/>
      </c>
      <c r="M204" s="264"/>
      <c r="N204" s="277"/>
      <c r="O204" s="278"/>
    </row>
    <row r="205" spans="1:15" ht="13.95" customHeight="1" x14ac:dyDescent="0.25">
      <c r="A205" s="169"/>
      <c r="B205" s="273"/>
      <c r="C205" s="378"/>
      <c r="D205" s="588" t="s">
        <v>425</v>
      </c>
      <c r="E205" s="952" t="e">
        <f ca="1">VLOOKUP($D205,Data!$C$2:$H$370,6,FALSE)</f>
        <v>#VALUE!</v>
      </c>
      <c r="F205" s="378"/>
      <c r="G205" s="588" t="s">
        <v>425</v>
      </c>
      <c r="H205" s="949" t="e">
        <f t="shared" ca="1" si="9"/>
        <v>#VALUE!</v>
      </c>
      <c r="I205" s="740" t="str">
        <f t="shared" ca="1" si="5"/>
        <v/>
      </c>
      <c r="J205" s="740" t="str">
        <f t="shared" ca="1" si="6"/>
        <v/>
      </c>
      <c r="K205" s="740" t="str">
        <f t="shared" ca="1" si="7"/>
        <v/>
      </c>
      <c r="L205" s="740" t="str">
        <f t="shared" ca="1" si="8"/>
        <v/>
      </c>
      <c r="M205" s="264"/>
      <c r="N205" s="277"/>
      <c r="O205" s="278"/>
    </row>
    <row r="206" spans="1:15" ht="13.95" customHeight="1" x14ac:dyDescent="0.25">
      <c r="A206" s="169"/>
      <c r="B206" s="273"/>
      <c r="C206" s="378"/>
      <c r="D206" s="588" t="s">
        <v>426</v>
      </c>
      <c r="E206" s="952" t="e">
        <f ca="1">VLOOKUP($D206,Data!$C$2:$H$370,6,FALSE)</f>
        <v>#VALUE!</v>
      </c>
      <c r="F206" s="378"/>
      <c r="G206" s="588" t="s">
        <v>426</v>
      </c>
      <c r="H206" s="949" t="e">
        <f t="shared" ca="1" si="9"/>
        <v>#VALUE!</v>
      </c>
      <c r="I206" s="740" t="str">
        <f t="shared" ca="1" si="5"/>
        <v/>
      </c>
      <c r="J206" s="740" t="str">
        <f t="shared" ca="1" si="6"/>
        <v/>
      </c>
      <c r="K206" s="740" t="str">
        <f t="shared" ca="1" si="7"/>
        <v/>
      </c>
      <c r="L206" s="740" t="str">
        <f t="shared" ca="1" si="8"/>
        <v/>
      </c>
      <c r="M206" s="264"/>
      <c r="N206" s="277"/>
      <c r="O206" s="278"/>
    </row>
    <row r="207" spans="1:15" ht="13.95" customHeight="1" x14ac:dyDescent="0.25">
      <c r="A207" s="169"/>
      <c r="B207" s="273"/>
      <c r="C207" s="378"/>
      <c r="D207" s="588" t="s">
        <v>427</v>
      </c>
      <c r="E207" s="952" t="e">
        <f ca="1">VLOOKUP($D207,Data!$C$2:$H$370,6,FALSE)</f>
        <v>#VALUE!</v>
      </c>
      <c r="F207" s="378"/>
      <c r="G207" s="588" t="s">
        <v>427</v>
      </c>
      <c r="H207" s="949" t="e">
        <f t="shared" ca="1" si="9"/>
        <v>#VALUE!</v>
      </c>
      <c r="I207" s="740" t="str">
        <f t="shared" ref="I207:I270" ca="1" si="10">IF(VLOOKUP(RIGHT($G207,LEN($G207)-FIND("-",$G207)), INDIRECT("'"&amp;LEFT($G207,FIND("-",$G207)-1)&amp;"'!"&amp;"$D:$K"), 5,FALSE) = 0, "",
VLOOKUP(RIGHT($G207,LEN($G207)-FIND("-",$G207)), INDIRECT("'"&amp;LEFT($G207,FIND("-",$G207)-1)&amp;"'!"&amp;"$D:$K"), 5,FALSE) )</f>
        <v/>
      </c>
      <c r="J207" s="740" t="str">
        <f t="shared" ref="J207:J270" ca="1" si="11">IF(VLOOKUP(RIGHT($G207,LEN($G207)-FIND("-",$G207)), INDIRECT("'"&amp;LEFT($G207,FIND("-",$G207)-1)&amp;"'!"&amp;"$D:$K"), 6,FALSE) = 0, "",
VLOOKUP(RIGHT($G207,LEN($G207)-FIND("-",$G207)), INDIRECT("'"&amp;LEFT($G207,FIND("-",$G207)-1)&amp;"'!"&amp;"$D:$K"), 6,FALSE) )</f>
        <v/>
      </c>
      <c r="K207" s="740" t="str">
        <f t="shared" ref="K207:K270" ca="1" si="12">IF(VLOOKUP(RIGHT($G207,LEN($G207)-FIND("-",$G207)), INDIRECT("'"&amp;LEFT($G207,FIND("-",$G207)-1)&amp;"'!"&amp;"$D:$K"), 7,FALSE) = 0, "",
VLOOKUP(RIGHT($G207,LEN($G207)-FIND("-",$G207)), INDIRECT("'"&amp;LEFT($G207,FIND("-",$G207)-1)&amp;"'!"&amp;"$D:$K"), 7,FALSE) )</f>
        <v/>
      </c>
      <c r="L207" s="740" t="str">
        <f t="shared" ref="L207:L270" ca="1" si="13">IF(VLOOKUP(RIGHT($G207,LEN($G207)-FIND("-",$G207)), INDIRECT("'"&amp;LEFT($G207,FIND("-",$G207)-1)&amp;"'!"&amp;"$D:$K"), 8,FALSE) = 0, "",
VLOOKUP(RIGHT($G207,LEN($G207)-FIND("-",$G207)), INDIRECT("'"&amp;LEFT($G207,FIND("-",$G207)-1)&amp;"'!"&amp;"$D:$K"), 8,FALSE) )</f>
        <v/>
      </c>
      <c r="M207" s="264"/>
      <c r="N207" s="277"/>
      <c r="O207" s="278"/>
    </row>
    <row r="208" spans="1:15" ht="13.95" customHeight="1" x14ac:dyDescent="0.25">
      <c r="A208" s="169"/>
      <c r="B208" s="273"/>
      <c r="C208" s="378"/>
      <c r="D208" s="588" t="s">
        <v>428</v>
      </c>
      <c r="E208" s="952" t="e">
        <f ca="1">VLOOKUP($D208,Data!$C$2:$H$370,6,FALSE)</f>
        <v>#VALUE!</v>
      </c>
      <c r="F208" s="378"/>
      <c r="G208" s="588" t="s">
        <v>428</v>
      </c>
      <c r="H208" s="949" t="e">
        <f t="shared" ref="H208:H271" ca="1" si="14">INT(LEFT(
VLOOKUP(RIGHT($G208,LEN($G208)-FIND("-",$G208)), INDIRECT("'"&amp;LEFT($G208,FIND("-",$G208)-1)&amp;"'!"&amp;"$D:$K"), 4,FALSE), 1)
)</f>
        <v>#VALUE!</v>
      </c>
      <c r="I208" s="740" t="str">
        <f t="shared" ca="1" si="10"/>
        <v/>
      </c>
      <c r="J208" s="740" t="str">
        <f t="shared" ca="1" si="11"/>
        <v/>
      </c>
      <c r="K208" s="740" t="str">
        <f t="shared" ca="1" si="12"/>
        <v/>
      </c>
      <c r="L208" s="740" t="str">
        <f t="shared" ca="1" si="13"/>
        <v/>
      </c>
      <c r="M208" s="264"/>
      <c r="N208" s="277"/>
      <c r="O208" s="278"/>
    </row>
    <row r="209" spans="1:15" ht="13.95" customHeight="1" x14ac:dyDescent="0.25">
      <c r="A209" s="169"/>
      <c r="B209" s="273"/>
      <c r="C209" s="378"/>
      <c r="D209" s="588" t="s">
        <v>429</v>
      </c>
      <c r="E209" s="952" t="e">
        <f ca="1">VLOOKUP($D209,Data!$C$2:$H$370,6,FALSE)</f>
        <v>#VALUE!</v>
      </c>
      <c r="F209" s="378"/>
      <c r="G209" s="588" t="s">
        <v>429</v>
      </c>
      <c r="H209" s="949" t="e">
        <f t="shared" ca="1" si="14"/>
        <v>#VALUE!</v>
      </c>
      <c r="I209" s="740" t="str">
        <f t="shared" ca="1" si="10"/>
        <v/>
      </c>
      <c r="J209" s="740" t="str">
        <f t="shared" ca="1" si="11"/>
        <v/>
      </c>
      <c r="K209" s="740" t="str">
        <f t="shared" ca="1" si="12"/>
        <v/>
      </c>
      <c r="L209" s="740" t="str">
        <f t="shared" ca="1" si="13"/>
        <v/>
      </c>
      <c r="M209" s="264"/>
      <c r="N209" s="277"/>
      <c r="O209" s="278"/>
    </row>
    <row r="210" spans="1:15" ht="13.95" customHeight="1" x14ac:dyDescent="0.25">
      <c r="A210" s="169"/>
      <c r="B210" s="273"/>
      <c r="C210" s="378"/>
      <c r="D210" s="588" t="s">
        <v>430</v>
      </c>
      <c r="E210" s="952" t="e">
        <f ca="1">VLOOKUP($D210,Data!$C$2:$H$370,6,FALSE)</f>
        <v>#VALUE!</v>
      </c>
      <c r="F210" s="378"/>
      <c r="G210" s="588" t="s">
        <v>430</v>
      </c>
      <c r="H210" s="949" t="e">
        <f t="shared" ca="1" si="14"/>
        <v>#VALUE!</v>
      </c>
      <c r="I210" s="740" t="str">
        <f t="shared" ca="1" si="10"/>
        <v/>
      </c>
      <c r="J210" s="740" t="str">
        <f t="shared" ca="1" si="11"/>
        <v/>
      </c>
      <c r="K210" s="740" t="str">
        <f t="shared" ca="1" si="12"/>
        <v/>
      </c>
      <c r="L210" s="740" t="str">
        <f t="shared" ca="1" si="13"/>
        <v/>
      </c>
      <c r="M210" s="264"/>
      <c r="N210" s="277"/>
      <c r="O210" s="278"/>
    </row>
    <row r="211" spans="1:15" ht="13.95" customHeight="1" x14ac:dyDescent="0.25">
      <c r="A211" s="169"/>
      <c r="B211" s="273"/>
      <c r="C211" s="378"/>
      <c r="D211" s="588" t="s">
        <v>431</v>
      </c>
      <c r="E211" s="952" t="e">
        <f ca="1">VLOOKUP($D211,Data!$C$2:$H$370,6,FALSE)</f>
        <v>#VALUE!</v>
      </c>
      <c r="F211" s="378"/>
      <c r="G211" s="588" t="s">
        <v>431</v>
      </c>
      <c r="H211" s="949" t="e">
        <f t="shared" ca="1" si="14"/>
        <v>#VALUE!</v>
      </c>
      <c r="I211" s="740" t="str">
        <f t="shared" ca="1" si="10"/>
        <v/>
      </c>
      <c r="J211" s="740" t="str">
        <f t="shared" ca="1" si="11"/>
        <v/>
      </c>
      <c r="K211" s="740" t="str">
        <f t="shared" ca="1" si="12"/>
        <v/>
      </c>
      <c r="L211" s="740" t="str">
        <f t="shared" ca="1" si="13"/>
        <v/>
      </c>
      <c r="M211" s="264"/>
      <c r="N211" s="277"/>
      <c r="O211" s="278"/>
    </row>
    <row r="212" spans="1:15" ht="13.95" customHeight="1" x14ac:dyDescent="0.25">
      <c r="A212" s="169"/>
      <c r="B212" s="273"/>
      <c r="C212" s="378"/>
      <c r="D212" s="588" t="s">
        <v>432</v>
      </c>
      <c r="E212" s="952" t="e">
        <f ca="1">VLOOKUP($D212,Data!$C$2:$H$370,6,FALSE)</f>
        <v>#VALUE!</v>
      </c>
      <c r="F212" s="378"/>
      <c r="G212" s="588" t="s">
        <v>432</v>
      </c>
      <c r="H212" s="949" t="e">
        <f t="shared" ca="1" si="14"/>
        <v>#VALUE!</v>
      </c>
      <c r="I212" s="740" t="str">
        <f t="shared" ca="1" si="10"/>
        <v/>
      </c>
      <c r="J212" s="740" t="str">
        <f t="shared" ca="1" si="11"/>
        <v/>
      </c>
      <c r="K212" s="740" t="str">
        <f t="shared" ca="1" si="12"/>
        <v/>
      </c>
      <c r="L212" s="740" t="str">
        <f t="shared" ca="1" si="13"/>
        <v/>
      </c>
      <c r="M212" s="264"/>
      <c r="N212" s="277"/>
      <c r="O212" s="278"/>
    </row>
    <row r="213" spans="1:15" ht="13.95" customHeight="1" x14ac:dyDescent="0.25">
      <c r="A213" s="169"/>
      <c r="B213" s="273"/>
      <c r="C213" s="378"/>
      <c r="D213" s="588" t="s">
        <v>433</v>
      </c>
      <c r="E213" s="952" t="e">
        <f ca="1">VLOOKUP($D213,Data!$C$2:$H$370,6,FALSE)</f>
        <v>#VALUE!</v>
      </c>
      <c r="F213" s="378"/>
      <c r="G213" s="588" t="s">
        <v>433</v>
      </c>
      <c r="H213" s="949" t="e">
        <f t="shared" ca="1" si="14"/>
        <v>#VALUE!</v>
      </c>
      <c r="I213" s="740" t="str">
        <f t="shared" ca="1" si="10"/>
        <v/>
      </c>
      <c r="J213" s="740" t="str">
        <f t="shared" ca="1" si="11"/>
        <v/>
      </c>
      <c r="K213" s="740" t="str">
        <f t="shared" ca="1" si="12"/>
        <v/>
      </c>
      <c r="L213" s="740" t="str">
        <f t="shared" ca="1" si="13"/>
        <v/>
      </c>
      <c r="M213" s="264"/>
      <c r="N213" s="277"/>
      <c r="O213" s="278"/>
    </row>
    <row r="214" spans="1:15" ht="13.95" customHeight="1" x14ac:dyDescent="0.25">
      <c r="A214" s="169"/>
      <c r="B214" s="273"/>
      <c r="C214" s="378"/>
      <c r="D214" s="588" t="s">
        <v>434</v>
      </c>
      <c r="E214" s="952" t="e">
        <f ca="1">VLOOKUP($D214,Data!$C$2:$H$370,6,FALSE)</f>
        <v>#VALUE!</v>
      </c>
      <c r="F214" s="378"/>
      <c r="G214" s="588" t="s">
        <v>434</v>
      </c>
      <c r="H214" s="949" t="e">
        <f t="shared" ca="1" si="14"/>
        <v>#VALUE!</v>
      </c>
      <c r="I214" s="740" t="str">
        <f t="shared" ca="1" si="10"/>
        <v/>
      </c>
      <c r="J214" s="740" t="str">
        <f t="shared" ca="1" si="11"/>
        <v/>
      </c>
      <c r="K214" s="740" t="str">
        <f t="shared" ca="1" si="12"/>
        <v/>
      </c>
      <c r="L214" s="740" t="str">
        <f t="shared" ca="1" si="13"/>
        <v/>
      </c>
      <c r="M214" s="264"/>
      <c r="N214" s="277"/>
      <c r="O214" s="278"/>
    </row>
    <row r="215" spans="1:15" ht="13.95" customHeight="1" x14ac:dyDescent="0.25">
      <c r="A215" s="169"/>
      <c r="B215" s="273"/>
      <c r="C215" s="378"/>
      <c r="D215" s="588" t="s">
        <v>435</v>
      </c>
      <c r="E215" s="952" t="e">
        <f ca="1">VLOOKUP($D215,Data!$C$2:$H$370,6,FALSE)</f>
        <v>#VALUE!</v>
      </c>
      <c r="F215" s="378"/>
      <c r="G215" s="588" t="s">
        <v>435</v>
      </c>
      <c r="H215" s="949" t="e">
        <f t="shared" ca="1" si="14"/>
        <v>#VALUE!</v>
      </c>
      <c r="I215" s="740" t="str">
        <f t="shared" ca="1" si="10"/>
        <v/>
      </c>
      <c r="J215" s="740" t="str">
        <f t="shared" ca="1" si="11"/>
        <v/>
      </c>
      <c r="K215" s="740" t="str">
        <f t="shared" ca="1" si="12"/>
        <v/>
      </c>
      <c r="L215" s="740" t="str">
        <f t="shared" ca="1" si="13"/>
        <v/>
      </c>
      <c r="M215" s="264"/>
      <c r="N215" s="277"/>
      <c r="O215" s="278"/>
    </row>
    <row r="216" spans="1:15" ht="13.95" customHeight="1" x14ac:dyDescent="0.25">
      <c r="A216" s="169"/>
      <c r="B216" s="273"/>
      <c r="C216" s="378"/>
      <c r="D216" s="588" t="s">
        <v>436</v>
      </c>
      <c r="E216" s="952" t="e">
        <f ca="1">VLOOKUP($D216,Data!$C$2:$H$370,6,FALSE)</f>
        <v>#VALUE!</v>
      </c>
      <c r="F216" s="378"/>
      <c r="G216" s="588" t="s">
        <v>436</v>
      </c>
      <c r="H216" s="949" t="e">
        <f t="shared" ca="1" si="14"/>
        <v>#VALUE!</v>
      </c>
      <c r="I216" s="740" t="str">
        <f t="shared" ca="1" si="10"/>
        <v/>
      </c>
      <c r="J216" s="740" t="str">
        <f t="shared" ca="1" si="11"/>
        <v/>
      </c>
      <c r="K216" s="740" t="str">
        <f t="shared" ca="1" si="12"/>
        <v/>
      </c>
      <c r="L216" s="740" t="str">
        <f t="shared" ca="1" si="13"/>
        <v/>
      </c>
      <c r="M216" s="264"/>
      <c r="N216" s="277"/>
      <c r="O216" s="278"/>
    </row>
    <row r="217" spans="1:15" ht="13.95" customHeight="1" x14ac:dyDescent="0.25">
      <c r="A217" s="169"/>
      <c r="B217" s="273"/>
      <c r="C217" s="378"/>
      <c r="D217" s="588" t="s">
        <v>437</v>
      </c>
      <c r="E217" s="952" t="e">
        <f ca="1">VLOOKUP($D217,Data!$C$2:$H$370,6,FALSE)</f>
        <v>#VALUE!</v>
      </c>
      <c r="F217" s="378"/>
      <c r="G217" s="588" t="s">
        <v>437</v>
      </c>
      <c r="H217" s="949" t="e">
        <f t="shared" ca="1" si="14"/>
        <v>#VALUE!</v>
      </c>
      <c r="I217" s="740" t="str">
        <f t="shared" ca="1" si="10"/>
        <v/>
      </c>
      <c r="J217" s="740" t="str">
        <f t="shared" ca="1" si="11"/>
        <v/>
      </c>
      <c r="K217" s="740" t="str">
        <f t="shared" ca="1" si="12"/>
        <v/>
      </c>
      <c r="L217" s="740" t="str">
        <f t="shared" ca="1" si="13"/>
        <v/>
      </c>
      <c r="M217" s="264"/>
      <c r="N217" s="277"/>
      <c r="O217" s="278"/>
    </row>
    <row r="218" spans="1:15" ht="13.95" customHeight="1" x14ac:dyDescent="0.25">
      <c r="A218" s="169"/>
      <c r="B218" s="273"/>
      <c r="C218" s="378"/>
      <c r="D218" s="588" t="s">
        <v>438</v>
      </c>
      <c r="E218" s="952" t="e">
        <f ca="1">VLOOKUP($D218,Data!$C$2:$H$370,6,FALSE)</f>
        <v>#VALUE!</v>
      </c>
      <c r="F218" s="378"/>
      <c r="G218" s="588" t="s">
        <v>438</v>
      </c>
      <c r="H218" s="949" t="e">
        <f t="shared" ca="1" si="14"/>
        <v>#VALUE!</v>
      </c>
      <c r="I218" s="740" t="str">
        <f t="shared" ca="1" si="10"/>
        <v/>
      </c>
      <c r="J218" s="740" t="str">
        <f t="shared" ca="1" si="11"/>
        <v/>
      </c>
      <c r="K218" s="740" t="str">
        <f t="shared" ca="1" si="12"/>
        <v/>
      </c>
      <c r="L218" s="740" t="str">
        <f t="shared" ca="1" si="13"/>
        <v/>
      </c>
      <c r="M218" s="264"/>
      <c r="N218" s="277"/>
      <c r="O218" s="278"/>
    </row>
    <row r="219" spans="1:15" ht="13.95" customHeight="1" x14ac:dyDescent="0.25">
      <c r="A219" s="169"/>
      <c r="B219" s="273"/>
      <c r="C219" s="378"/>
      <c r="D219" s="588" t="s">
        <v>439</v>
      </c>
      <c r="E219" s="952" t="e">
        <f ca="1">VLOOKUP($D219,Data!$C$2:$H$370,6,FALSE)</f>
        <v>#VALUE!</v>
      </c>
      <c r="F219" s="378"/>
      <c r="G219" s="588" t="s">
        <v>439</v>
      </c>
      <c r="H219" s="949" t="e">
        <f t="shared" ca="1" si="14"/>
        <v>#VALUE!</v>
      </c>
      <c r="I219" s="740" t="str">
        <f t="shared" ca="1" si="10"/>
        <v/>
      </c>
      <c r="J219" s="740" t="str">
        <f t="shared" ca="1" si="11"/>
        <v/>
      </c>
      <c r="K219" s="740" t="str">
        <f t="shared" ca="1" si="12"/>
        <v/>
      </c>
      <c r="L219" s="740" t="str">
        <f t="shared" ca="1" si="13"/>
        <v/>
      </c>
      <c r="M219" s="264"/>
      <c r="N219" s="277"/>
      <c r="O219" s="278"/>
    </row>
    <row r="220" spans="1:15" ht="13.95" customHeight="1" x14ac:dyDescent="0.25">
      <c r="A220" s="169"/>
      <c r="B220" s="273"/>
      <c r="C220" s="378"/>
      <c r="D220" s="588" t="s">
        <v>440</v>
      </c>
      <c r="E220" s="952" t="e">
        <f ca="1">VLOOKUP($D220,Data!$C$2:$H$370,6,FALSE)</f>
        <v>#VALUE!</v>
      </c>
      <c r="F220" s="378"/>
      <c r="G220" s="588" t="s">
        <v>440</v>
      </c>
      <c r="H220" s="949" t="e">
        <f t="shared" ca="1" si="14"/>
        <v>#VALUE!</v>
      </c>
      <c r="I220" s="740" t="str">
        <f t="shared" ca="1" si="10"/>
        <v/>
      </c>
      <c r="J220" s="740" t="str">
        <f t="shared" ca="1" si="11"/>
        <v/>
      </c>
      <c r="K220" s="740" t="str">
        <f t="shared" ca="1" si="12"/>
        <v/>
      </c>
      <c r="L220" s="740" t="str">
        <f t="shared" ca="1" si="13"/>
        <v/>
      </c>
      <c r="M220" s="264"/>
      <c r="N220" s="277"/>
      <c r="O220" s="278"/>
    </row>
    <row r="221" spans="1:15" ht="13.95" customHeight="1" x14ac:dyDescent="0.25">
      <c r="A221" s="169"/>
      <c r="B221" s="273"/>
      <c r="C221" s="378"/>
      <c r="D221" s="588" t="s">
        <v>441</v>
      </c>
      <c r="E221" s="952" t="e">
        <f ca="1">VLOOKUP($D221,Data!$C$2:$H$370,6,FALSE)</f>
        <v>#VALUE!</v>
      </c>
      <c r="F221" s="378"/>
      <c r="G221" s="588" t="s">
        <v>441</v>
      </c>
      <c r="H221" s="949" t="e">
        <f t="shared" ca="1" si="14"/>
        <v>#VALUE!</v>
      </c>
      <c r="I221" s="740" t="str">
        <f t="shared" ca="1" si="10"/>
        <v/>
      </c>
      <c r="J221" s="740" t="str">
        <f t="shared" ca="1" si="11"/>
        <v/>
      </c>
      <c r="K221" s="740" t="str">
        <f t="shared" ca="1" si="12"/>
        <v/>
      </c>
      <c r="L221" s="740" t="str">
        <f t="shared" ca="1" si="13"/>
        <v/>
      </c>
      <c r="M221" s="264"/>
      <c r="N221" s="277"/>
      <c r="O221" s="278"/>
    </row>
    <row r="222" spans="1:15" ht="13.95" customHeight="1" x14ac:dyDescent="0.25">
      <c r="A222" s="169"/>
      <c r="B222" s="273"/>
      <c r="C222" s="378"/>
      <c r="D222" s="588" t="s">
        <v>442</v>
      </c>
      <c r="E222" s="952" t="e">
        <f ca="1">VLOOKUP($D222,Data!$C$2:$H$370,6,FALSE)</f>
        <v>#VALUE!</v>
      </c>
      <c r="F222" s="378"/>
      <c r="G222" s="588" t="s">
        <v>442</v>
      </c>
      <c r="H222" s="949" t="e">
        <f t="shared" ca="1" si="14"/>
        <v>#VALUE!</v>
      </c>
      <c r="I222" s="740" t="str">
        <f t="shared" ca="1" si="10"/>
        <v/>
      </c>
      <c r="J222" s="740" t="str">
        <f t="shared" ca="1" si="11"/>
        <v/>
      </c>
      <c r="K222" s="740" t="str">
        <f t="shared" ca="1" si="12"/>
        <v/>
      </c>
      <c r="L222" s="740" t="str">
        <f t="shared" ca="1" si="13"/>
        <v/>
      </c>
      <c r="M222" s="264"/>
      <c r="N222" s="277"/>
      <c r="O222" s="278"/>
    </row>
    <row r="223" spans="1:15" ht="13.95" customHeight="1" x14ac:dyDescent="0.25">
      <c r="A223" s="169"/>
      <c r="B223" s="273"/>
      <c r="C223" s="378"/>
      <c r="D223" s="588" t="s">
        <v>443</v>
      </c>
      <c r="E223" s="952" t="e">
        <f ca="1">VLOOKUP($D223,Data!$C$2:$H$370,6,FALSE)</f>
        <v>#VALUE!</v>
      </c>
      <c r="F223" s="378"/>
      <c r="G223" s="588" t="s">
        <v>443</v>
      </c>
      <c r="H223" s="949" t="e">
        <f t="shared" ca="1" si="14"/>
        <v>#VALUE!</v>
      </c>
      <c r="I223" s="740" t="str">
        <f t="shared" ca="1" si="10"/>
        <v/>
      </c>
      <c r="J223" s="740" t="str">
        <f t="shared" ca="1" si="11"/>
        <v/>
      </c>
      <c r="K223" s="740" t="str">
        <f t="shared" ca="1" si="12"/>
        <v/>
      </c>
      <c r="L223" s="740" t="str">
        <f t="shared" ca="1" si="13"/>
        <v/>
      </c>
      <c r="M223" s="264"/>
      <c r="N223" s="277"/>
      <c r="O223" s="278"/>
    </row>
    <row r="224" spans="1:15" ht="13.95" customHeight="1" x14ac:dyDescent="0.25">
      <c r="A224" s="169"/>
      <c r="B224" s="273"/>
      <c r="C224" s="378"/>
      <c r="D224" s="588" t="s">
        <v>444</v>
      </c>
      <c r="E224" s="952" t="e">
        <f ca="1">VLOOKUP($D224,Data!$C$2:$H$370,6,FALSE)</f>
        <v>#VALUE!</v>
      </c>
      <c r="F224" s="378"/>
      <c r="G224" s="588" t="s">
        <v>444</v>
      </c>
      <c r="H224" s="949" t="e">
        <f t="shared" ca="1" si="14"/>
        <v>#VALUE!</v>
      </c>
      <c r="I224" s="740" t="str">
        <f t="shared" ca="1" si="10"/>
        <v/>
      </c>
      <c r="J224" s="740" t="str">
        <f t="shared" ca="1" si="11"/>
        <v/>
      </c>
      <c r="K224" s="740" t="str">
        <f t="shared" ca="1" si="12"/>
        <v/>
      </c>
      <c r="L224" s="740" t="str">
        <f t="shared" ca="1" si="13"/>
        <v/>
      </c>
      <c r="M224" s="264"/>
      <c r="N224" s="277"/>
      <c r="O224" s="278"/>
    </row>
    <row r="225" spans="1:15" ht="13.95" customHeight="1" x14ac:dyDescent="0.25">
      <c r="A225" s="169"/>
      <c r="B225" s="273"/>
      <c r="C225" s="378"/>
      <c r="D225" s="588" t="s">
        <v>445</v>
      </c>
      <c r="E225" s="952" t="e">
        <f ca="1">VLOOKUP($D225,Data!$C$2:$H$370,6,FALSE)</f>
        <v>#VALUE!</v>
      </c>
      <c r="F225" s="378"/>
      <c r="G225" s="588" t="s">
        <v>445</v>
      </c>
      <c r="H225" s="949" t="e">
        <f t="shared" ca="1" si="14"/>
        <v>#VALUE!</v>
      </c>
      <c r="I225" s="740" t="str">
        <f t="shared" ca="1" si="10"/>
        <v/>
      </c>
      <c r="J225" s="740" t="str">
        <f t="shared" ca="1" si="11"/>
        <v/>
      </c>
      <c r="K225" s="740" t="str">
        <f t="shared" ca="1" si="12"/>
        <v/>
      </c>
      <c r="L225" s="740" t="str">
        <f t="shared" ca="1" si="13"/>
        <v/>
      </c>
      <c r="M225" s="264"/>
      <c r="N225" s="277"/>
      <c r="O225" s="278"/>
    </row>
    <row r="226" spans="1:15" ht="13.95" customHeight="1" x14ac:dyDescent="0.25">
      <c r="A226" s="169"/>
      <c r="B226" s="273"/>
      <c r="C226" s="378"/>
      <c r="D226" s="588" t="s">
        <v>379</v>
      </c>
      <c r="E226" s="952" t="e">
        <f ca="1">VLOOKUP($D226,Data!$C$2:$H$370,6,FALSE)</f>
        <v>#VALUE!</v>
      </c>
      <c r="F226" s="378"/>
      <c r="G226" s="588" t="s">
        <v>379</v>
      </c>
      <c r="H226" s="949" t="e">
        <f t="shared" ca="1" si="14"/>
        <v>#VALUE!</v>
      </c>
      <c r="I226" s="740" t="str">
        <f t="shared" ca="1" si="10"/>
        <v/>
      </c>
      <c r="J226" s="740" t="str">
        <f t="shared" ca="1" si="11"/>
        <v/>
      </c>
      <c r="K226" s="740" t="str">
        <f t="shared" ca="1" si="12"/>
        <v/>
      </c>
      <c r="L226" s="740" t="str">
        <f t="shared" ca="1" si="13"/>
        <v/>
      </c>
      <c r="M226" s="264"/>
      <c r="N226" s="277"/>
      <c r="O226" s="278"/>
    </row>
    <row r="227" spans="1:15" ht="13.95" customHeight="1" x14ac:dyDescent="0.25">
      <c r="A227" s="169"/>
      <c r="B227" s="273"/>
      <c r="C227" s="378"/>
      <c r="D227" s="588" t="s">
        <v>380</v>
      </c>
      <c r="E227" s="952" t="e">
        <f ca="1">VLOOKUP($D227,Data!$C$2:$H$370,6,FALSE)</f>
        <v>#VALUE!</v>
      </c>
      <c r="F227" s="378"/>
      <c r="G227" s="588" t="s">
        <v>380</v>
      </c>
      <c r="H227" s="949" t="e">
        <f t="shared" ca="1" si="14"/>
        <v>#VALUE!</v>
      </c>
      <c r="I227" s="740" t="str">
        <f t="shared" ca="1" si="10"/>
        <v/>
      </c>
      <c r="J227" s="740" t="str">
        <f t="shared" ca="1" si="11"/>
        <v/>
      </c>
      <c r="K227" s="740" t="str">
        <f t="shared" ca="1" si="12"/>
        <v/>
      </c>
      <c r="L227" s="740" t="str">
        <f t="shared" ca="1" si="13"/>
        <v/>
      </c>
      <c r="M227" s="264"/>
      <c r="N227" s="277"/>
      <c r="O227" s="278"/>
    </row>
    <row r="228" spans="1:15" ht="13.95" customHeight="1" x14ac:dyDescent="0.25">
      <c r="A228" s="169"/>
      <c r="B228" s="273"/>
      <c r="C228" s="378"/>
      <c r="D228" s="588" t="s">
        <v>381</v>
      </c>
      <c r="E228" s="952" t="e">
        <f ca="1">VLOOKUP($D228,Data!$C$2:$H$370,6,FALSE)</f>
        <v>#VALUE!</v>
      </c>
      <c r="F228" s="378"/>
      <c r="G228" s="588" t="s">
        <v>381</v>
      </c>
      <c r="H228" s="949" t="e">
        <f t="shared" ca="1" si="14"/>
        <v>#VALUE!</v>
      </c>
      <c r="I228" s="740" t="str">
        <f t="shared" ca="1" si="10"/>
        <v/>
      </c>
      <c r="J228" s="740" t="str">
        <f t="shared" ca="1" si="11"/>
        <v/>
      </c>
      <c r="K228" s="740" t="str">
        <f t="shared" ca="1" si="12"/>
        <v/>
      </c>
      <c r="L228" s="740" t="str">
        <f t="shared" ca="1" si="13"/>
        <v/>
      </c>
      <c r="M228" s="264"/>
      <c r="N228" s="277"/>
      <c r="O228" s="278"/>
    </row>
    <row r="229" spans="1:15" ht="13.95" customHeight="1" x14ac:dyDescent="0.25">
      <c r="A229" s="169"/>
      <c r="B229" s="273"/>
      <c r="C229" s="378"/>
      <c r="D229" s="588" t="s">
        <v>382</v>
      </c>
      <c r="E229" s="952" t="e">
        <f ca="1">VLOOKUP($D229,Data!$C$2:$H$370,6,FALSE)</f>
        <v>#VALUE!</v>
      </c>
      <c r="F229" s="378"/>
      <c r="G229" s="588" t="s">
        <v>382</v>
      </c>
      <c r="H229" s="949" t="e">
        <f t="shared" ca="1" si="14"/>
        <v>#VALUE!</v>
      </c>
      <c r="I229" s="740" t="str">
        <f t="shared" ca="1" si="10"/>
        <v/>
      </c>
      <c r="J229" s="740" t="str">
        <f t="shared" ca="1" si="11"/>
        <v/>
      </c>
      <c r="K229" s="740" t="str">
        <f t="shared" ca="1" si="12"/>
        <v/>
      </c>
      <c r="L229" s="740" t="str">
        <f t="shared" ca="1" si="13"/>
        <v/>
      </c>
      <c r="M229" s="264"/>
      <c r="N229" s="277"/>
      <c r="O229" s="278"/>
    </row>
    <row r="230" spans="1:15" ht="13.95" customHeight="1" x14ac:dyDescent="0.25">
      <c r="A230" s="169"/>
      <c r="B230" s="273"/>
      <c r="C230" s="378"/>
      <c r="D230" s="588" t="s">
        <v>383</v>
      </c>
      <c r="E230" s="952" t="e">
        <f ca="1">VLOOKUP($D230,Data!$C$2:$H$370,6,FALSE)</f>
        <v>#VALUE!</v>
      </c>
      <c r="F230" s="378"/>
      <c r="G230" s="588" t="s">
        <v>383</v>
      </c>
      <c r="H230" s="949" t="e">
        <f t="shared" ca="1" si="14"/>
        <v>#VALUE!</v>
      </c>
      <c r="I230" s="740" t="str">
        <f t="shared" ca="1" si="10"/>
        <v/>
      </c>
      <c r="J230" s="740" t="str">
        <f t="shared" ca="1" si="11"/>
        <v/>
      </c>
      <c r="K230" s="740" t="str">
        <f t="shared" ca="1" si="12"/>
        <v/>
      </c>
      <c r="L230" s="740" t="str">
        <f t="shared" ca="1" si="13"/>
        <v/>
      </c>
      <c r="M230" s="264"/>
      <c r="N230" s="277"/>
      <c r="O230" s="278"/>
    </row>
    <row r="231" spans="1:15" ht="13.95" customHeight="1" x14ac:dyDescent="0.25">
      <c r="A231" s="169"/>
      <c r="B231" s="273"/>
      <c r="C231" s="378"/>
      <c r="D231" s="588" t="s">
        <v>384</v>
      </c>
      <c r="E231" s="952" t="e">
        <f ca="1">VLOOKUP($D231,Data!$C$2:$H$370,6,FALSE)</f>
        <v>#VALUE!</v>
      </c>
      <c r="F231" s="378"/>
      <c r="G231" s="588" t="s">
        <v>384</v>
      </c>
      <c r="H231" s="949" t="e">
        <f t="shared" ca="1" si="14"/>
        <v>#VALUE!</v>
      </c>
      <c r="I231" s="740" t="str">
        <f t="shared" ca="1" si="10"/>
        <v/>
      </c>
      <c r="J231" s="740" t="str">
        <f t="shared" ca="1" si="11"/>
        <v/>
      </c>
      <c r="K231" s="740" t="str">
        <f t="shared" ca="1" si="12"/>
        <v/>
      </c>
      <c r="L231" s="740" t="str">
        <f t="shared" ca="1" si="13"/>
        <v/>
      </c>
      <c r="M231" s="264"/>
      <c r="N231" s="277"/>
      <c r="O231" s="278"/>
    </row>
    <row r="232" spans="1:15" ht="13.95" customHeight="1" x14ac:dyDescent="0.25">
      <c r="A232" s="169"/>
      <c r="B232" s="273"/>
      <c r="C232" s="378"/>
      <c r="D232" s="588" t="s">
        <v>385</v>
      </c>
      <c r="E232" s="952" t="e">
        <f ca="1">VLOOKUP($D232,Data!$C$2:$H$370,6,FALSE)</f>
        <v>#VALUE!</v>
      </c>
      <c r="F232" s="378"/>
      <c r="G232" s="588" t="s">
        <v>385</v>
      </c>
      <c r="H232" s="949" t="e">
        <f t="shared" ca="1" si="14"/>
        <v>#VALUE!</v>
      </c>
      <c r="I232" s="740" t="str">
        <f t="shared" ca="1" si="10"/>
        <v/>
      </c>
      <c r="J232" s="740" t="str">
        <f t="shared" ca="1" si="11"/>
        <v/>
      </c>
      <c r="K232" s="740" t="str">
        <f t="shared" ca="1" si="12"/>
        <v/>
      </c>
      <c r="L232" s="740" t="str">
        <f t="shared" ca="1" si="13"/>
        <v/>
      </c>
      <c r="M232" s="264"/>
      <c r="N232" s="277"/>
      <c r="O232" s="278"/>
    </row>
    <row r="233" spans="1:15" ht="13.95" customHeight="1" x14ac:dyDescent="0.25">
      <c r="A233" s="169"/>
      <c r="B233" s="273"/>
      <c r="C233" s="378"/>
      <c r="D233" s="588" t="s">
        <v>386</v>
      </c>
      <c r="E233" s="952" t="e">
        <f ca="1">VLOOKUP($D233,Data!$C$2:$H$370,6,FALSE)</f>
        <v>#VALUE!</v>
      </c>
      <c r="F233" s="378"/>
      <c r="G233" s="588" t="s">
        <v>386</v>
      </c>
      <c r="H233" s="949" t="e">
        <f t="shared" ca="1" si="14"/>
        <v>#VALUE!</v>
      </c>
      <c r="I233" s="740" t="str">
        <f t="shared" ca="1" si="10"/>
        <v/>
      </c>
      <c r="J233" s="740" t="str">
        <f t="shared" ca="1" si="11"/>
        <v/>
      </c>
      <c r="K233" s="740" t="str">
        <f t="shared" ca="1" si="12"/>
        <v/>
      </c>
      <c r="L233" s="740" t="str">
        <f t="shared" ca="1" si="13"/>
        <v/>
      </c>
      <c r="M233" s="264"/>
      <c r="N233" s="277"/>
      <c r="O233" s="278"/>
    </row>
    <row r="234" spans="1:15" ht="13.95" customHeight="1" x14ac:dyDescent="0.25">
      <c r="A234" s="169"/>
      <c r="B234" s="273"/>
      <c r="C234" s="378"/>
      <c r="D234" s="588" t="s">
        <v>387</v>
      </c>
      <c r="E234" s="952" t="e">
        <f ca="1">VLOOKUP($D234,Data!$C$2:$H$370,6,FALSE)</f>
        <v>#VALUE!</v>
      </c>
      <c r="F234" s="378"/>
      <c r="G234" s="588" t="s">
        <v>387</v>
      </c>
      <c r="H234" s="949" t="e">
        <f t="shared" ca="1" si="14"/>
        <v>#VALUE!</v>
      </c>
      <c r="I234" s="740" t="str">
        <f t="shared" ca="1" si="10"/>
        <v/>
      </c>
      <c r="J234" s="740" t="str">
        <f t="shared" ca="1" si="11"/>
        <v/>
      </c>
      <c r="K234" s="740" t="str">
        <f t="shared" ca="1" si="12"/>
        <v/>
      </c>
      <c r="L234" s="740" t="str">
        <f t="shared" ca="1" si="13"/>
        <v/>
      </c>
      <c r="M234" s="264"/>
      <c r="N234" s="277"/>
      <c r="O234" s="278"/>
    </row>
    <row r="235" spans="1:15" ht="13.95" customHeight="1" x14ac:dyDescent="0.25">
      <c r="A235" s="169"/>
      <c r="B235" s="273"/>
      <c r="C235" s="378"/>
      <c r="D235" s="588" t="s">
        <v>388</v>
      </c>
      <c r="E235" s="952" t="e">
        <f ca="1">VLOOKUP($D235,Data!$C$2:$H$370,6,FALSE)</f>
        <v>#VALUE!</v>
      </c>
      <c r="F235" s="378"/>
      <c r="G235" s="588" t="s">
        <v>388</v>
      </c>
      <c r="H235" s="949" t="e">
        <f t="shared" ca="1" si="14"/>
        <v>#VALUE!</v>
      </c>
      <c r="I235" s="740" t="str">
        <f t="shared" ca="1" si="10"/>
        <v/>
      </c>
      <c r="J235" s="740" t="str">
        <f t="shared" ca="1" si="11"/>
        <v/>
      </c>
      <c r="K235" s="740" t="str">
        <f t="shared" ca="1" si="12"/>
        <v/>
      </c>
      <c r="L235" s="740" t="str">
        <f t="shared" ca="1" si="13"/>
        <v/>
      </c>
      <c r="M235" s="264"/>
      <c r="N235" s="277"/>
      <c r="O235" s="278"/>
    </row>
    <row r="236" spans="1:15" ht="13.95" customHeight="1" x14ac:dyDescent="0.25">
      <c r="A236" s="169"/>
      <c r="B236" s="273"/>
      <c r="C236" s="378"/>
      <c r="D236" s="588" t="s">
        <v>389</v>
      </c>
      <c r="E236" s="952" t="e">
        <f ca="1">VLOOKUP($D236,Data!$C$2:$H$370,6,FALSE)</f>
        <v>#VALUE!</v>
      </c>
      <c r="F236" s="378"/>
      <c r="G236" s="588" t="s">
        <v>389</v>
      </c>
      <c r="H236" s="949" t="e">
        <f t="shared" ca="1" si="14"/>
        <v>#VALUE!</v>
      </c>
      <c r="I236" s="740" t="str">
        <f t="shared" ca="1" si="10"/>
        <v/>
      </c>
      <c r="J236" s="740" t="str">
        <f t="shared" ca="1" si="11"/>
        <v/>
      </c>
      <c r="K236" s="740" t="str">
        <f t="shared" ca="1" si="12"/>
        <v/>
      </c>
      <c r="L236" s="740" t="str">
        <f t="shared" ca="1" si="13"/>
        <v/>
      </c>
      <c r="M236" s="264"/>
      <c r="N236" s="277"/>
      <c r="O236" s="278"/>
    </row>
    <row r="237" spans="1:15" ht="13.95" customHeight="1" x14ac:dyDescent="0.25">
      <c r="A237" s="169"/>
      <c r="B237" s="273"/>
      <c r="C237" s="378"/>
      <c r="D237" s="588" t="s">
        <v>390</v>
      </c>
      <c r="E237" s="952" t="e">
        <f ca="1">VLOOKUP($D237,Data!$C$2:$H$370,6,FALSE)</f>
        <v>#VALUE!</v>
      </c>
      <c r="F237" s="378"/>
      <c r="G237" s="588" t="s">
        <v>390</v>
      </c>
      <c r="H237" s="949" t="e">
        <f t="shared" ca="1" si="14"/>
        <v>#VALUE!</v>
      </c>
      <c r="I237" s="740" t="str">
        <f t="shared" ca="1" si="10"/>
        <v/>
      </c>
      <c r="J237" s="740" t="str">
        <f t="shared" ca="1" si="11"/>
        <v/>
      </c>
      <c r="K237" s="740" t="str">
        <f t="shared" ca="1" si="12"/>
        <v/>
      </c>
      <c r="L237" s="740" t="str">
        <f t="shared" ca="1" si="13"/>
        <v/>
      </c>
      <c r="M237" s="264"/>
      <c r="N237" s="277"/>
      <c r="O237" s="278"/>
    </row>
    <row r="238" spans="1:15" ht="13.95" customHeight="1" x14ac:dyDescent="0.25">
      <c r="A238" s="169"/>
      <c r="B238" s="273"/>
      <c r="C238" s="378"/>
      <c r="D238" s="588" t="s">
        <v>391</v>
      </c>
      <c r="E238" s="952" t="e">
        <f ca="1">VLOOKUP($D238,Data!$C$2:$H$370,6,FALSE)</f>
        <v>#VALUE!</v>
      </c>
      <c r="F238" s="378"/>
      <c r="G238" s="588" t="s">
        <v>391</v>
      </c>
      <c r="H238" s="949" t="e">
        <f t="shared" ca="1" si="14"/>
        <v>#VALUE!</v>
      </c>
      <c r="I238" s="740" t="str">
        <f t="shared" ca="1" si="10"/>
        <v/>
      </c>
      <c r="J238" s="740" t="str">
        <f t="shared" ca="1" si="11"/>
        <v/>
      </c>
      <c r="K238" s="740" t="str">
        <f t="shared" ca="1" si="12"/>
        <v/>
      </c>
      <c r="L238" s="740" t="str">
        <f t="shared" ca="1" si="13"/>
        <v/>
      </c>
      <c r="M238" s="264"/>
      <c r="N238" s="277"/>
      <c r="O238" s="278"/>
    </row>
    <row r="239" spans="1:15" ht="13.95" customHeight="1" x14ac:dyDescent="0.25">
      <c r="A239" s="169"/>
      <c r="B239" s="273"/>
      <c r="C239" s="378"/>
      <c r="D239" s="588" t="s">
        <v>392</v>
      </c>
      <c r="E239" s="952" t="e">
        <f ca="1">VLOOKUP($D239,Data!$C$2:$H$370,6,FALSE)</f>
        <v>#VALUE!</v>
      </c>
      <c r="F239" s="378"/>
      <c r="G239" s="588" t="s">
        <v>392</v>
      </c>
      <c r="H239" s="949" t="e">
        <f t="shared" ca="1" si="14"/>
        <v>#VALUE!</v>
      </c>
      <c r="I239" s="740" t="str">
        <f t="shared" ca="1" si="10"/>
        <v/>
      </c>
      <c r="J239" s="740" t="str">
        <f t="shared" ca="1" si="11"/>
        <v/>
      </c>
      <c r="K239" s="740" t="str">
        <f t="shared" ca="1" si="12"/>
        <v/>
      </c>
      <c r="L239" s="740" t="str">
        <f t="shared" ca="1" si="13"/>
        <v/>
      </c>
      <c r="M239" s="264"/>
      <c r="N239" s="277"/>
      <c r="O239" s="278"/>
    </row>
    <row r="240" spans="1:15" ht="13.95" customHeight="1" x14ac:dyDescent="0.25">
      <c r="A240" s="169"/>
      <c r="B240" s="273"/>
      <c r="C240" s="378"/>
      <c r="D240" s="588" t="s">
        <v>393</v>
      </c>
      <c r="E240" s="952" t="e">
        <f ca="1">VLOOKUP($D240,Data!$C$2:$H$370,6,FALSE)</f>
        <v>#VALUE!</v>
      </c>
      <c r="F240" s="378"/>
      <c r="G240" s="588" t="s">
        <v>393</v>
      </c>
      <c r="H240" s="949" t="e">
        <f t="shared" ca="1" si="14"/>
        <v>#VALUE!</v>
      </c>
      <c r="I240" s="740" t="str">
        <f t="shared" ca="1" si="10"/>
        <v/>
      </c>
      <c r="J240" s="740" t="str">
        <f t="shared" ca="1" si="11"/>
        <v/>
      </c>
      <c r="K240" s="740" t="str">
        <f t="shared" ca="1" si="12"/>
        <v/>
      </c>
      <c r="L240" s="740" t="str">
        <f t="shared" ca="1" si="13"/>
        <v/>
      </c>
      <c r="M240" s="264"/>
      <c r="N240" s="277"/>
      <c r="O240" s="278"/>
    </row>
    <row r="241" spans="1:15" ht="13.95" customHeight="1" x14ac:dyDescent="0.25">
      <c r="A241" s="169"/>
      <c r="B241" s="273"/>
      <c r="C241" s="378"/>
      <c r="D241" s="588" t="s">
        <v>394</v>
      </c>
      <c r="E241" s="952" t="e">
        <f ca="1">VLOOKUP($D241,Data!$C$2:$H$370,6,FALSE)</f>
        <v>#VALUE!</v>
      </c>
      <c r="F241" s="378"/>
      <c r="G241" s="588" t="s">
        <v>394</v>
      </c>
      <c r="H241" s="949" t="e">
        <f t="shared" ca="1" si="14"/>
        <v>#VALUE!</v>
      </c>
      <c r="I241" s="740" t="str">
        <f t="shared" ca="1" si="10"/>
        <v/>
      </c>
      <c r="J241" s="740" t="str">
        <f t="shared" ca="1" si="11"/>
        <v/>
      </c>
      <c r="K241" s="740" t="str">
        <f t="shared" ca="1" si="12"/>
        <v/>
      </c>
      <c r="L241" s="740" t="str">
        <f t="shared" ca="1" si="13"/>
        <v/>
      </c>
      <c r="M241" s="264"/>
      <c r="N241" s="277"/>
      <c r="O241" s="278"/>
    </row>
    <row r="242" spans="1:15" ht="13.95" customHeight="1" x14ac:dyDescent="0.25">
      <c r="A242" s="169"/>
      <c r="B242" s="273"/>
      <c r="C242" s="378"/>
      <c r="D242" s="588" t="s">
        <v>395</v>
      </c>
      <c r="E242" s="952" t="e">
        <f ca="1">VLOOKUP($D242,Data!$C$2:$H$370,6,FALSE)</f>
        <v>#VALUE!</v>
      </c>
      <c r="F242" s="378"/>
      <c r="G242" s="588" t="s">
        <v>395</v>
      </c>
      <c r="H242" s="949" t="e">
        <f t="shared" ca="1" si="14"/>
        <v>#VALUE!</v>
      </c>
      <c r="I242" s="740" t="str">
        <f t="shared" ca="1" si="10"/>
        <v/>
      </c>
      <c r="J242" s="740" t="str">
        <f t="shared" ca="1" si="11"/>
        <v/>
      </c>
      <c r="K242" s="740" t="str">
        <f t="shared" ca="1" si="12"/>
        <v/>
      </c>
      <c r="L242" s="740" t="str">
        <f t="shared" ca="1" si="13"/>
        <v/>
      </c>
      <c r="M242" s="264"/>
      <c r="N242" s="277"/>
      <c r="O242" s="278"/>
    </row>
    <row r="243" spans="1:15" ht="13.95" customHeight="1" x14ac:dyDescent="0.25">
      <c r="A243" s="169"/>
      <c r="B243" s="273"/>
      <c r="C243" s="378"/>
      <c r="D243" s="588" t="s">
        <v>396</v>
      </c>
      <c r="E243" s="952" t="e">
        <f ca="1">VLOOKUP($D243,Data!$C$2:$H$370,6,FALSE)</f>
        <v>#VALUE!</v>
      </c>
      <c r="F243" s="378"/>
      <c r="G243" s="588" t="s">
        <v>396</v>
      </c>
      <c r="H243" s="949" t="e">
        <f t="shared" ca="1" si="14"/>
        <v>#VALUE!</v>
      </c>
      <c r="I243" s="740" t="str">
        <f t="shared" ca="1" si="10"/>
        <v/>
      </c>
      <c r="J243" s="740" t="str">
        <f t="shared" ca="1" si="11"/>
        <v/>
      </c>
      <c r="K243" s="740" t="str">
        <f t="shared" ca="1" si="12"/>
        <v/>
      </c>
      <c r="L243" s="740" t="str">
        <f t="shared" ca="1" si="13"/>
        <v/>
      </c>
      <c r="M243" s="264"/>
      <c r="N243" s="277"/>
      <c r="O243" s="278"/>
    </row>
    <row r="244" spans="1:15" ht="13.95" customHeight="1" x14ac:dyDescent="0.25">
      <c r="A244" s="169"/>
      <c r="B244" s="273"/>
      <c r="C244" s="378"/>
      <c r="D244" s="588" t="s">
        <v>397</v>
      </c>
      <c r="E244" s="952" t="e">
        <f ca="1">VLOOKUP($D244,Data!$C$2:$H$370,6,FALSE)</f>
        <v>#VALUE!</v>
      </c>
      <c r="F244" s="378"/>
      <c r="G244" s="588" t="s">
        <v>397</v>
      </c>
      <c r="H244" s="949" t="e">
        <f t="shared" ca="1" si="14"/>
        <v>#VALUE!</v>
      </c>
      <c r="I244" s="740" t="str">
        <f t="shared" ca="1" si="10"/>
        <v/>
      </c>
      <c r="J244" s="740" t="str">
        <f t="shared" ca="1" si="11"/>
        <v/>
      </c>
      <c r="K244" s="740" t="str">
        <f t="shared" ca="1" si="12"/>
        <v/>
      </c>
      <c r="L244" s="740" t="str">
        <f t="shared" ca="1" si="13"/>
        <v/>
      </c>
      <c r="M244" s="264"/>
      <c r="N244" s="277"/>
      <c r="O244" s="278"/>
    </row>
    <row r="245" spans="1:15" ht="13.95" customHeight="1" x14ac:dyDescent="0.25">
      <c r="A245" s="169"/>
      <c r="B245" s="273"/>
      <c r="C245" s="378"/>
      <c r="D245" s="588" t="s">
        <v>398</v>
      </c>
      <c r="E245" s="952" t="e">
        <f ca="1">VLOOKUP($D245,Data!$C$2:$H$370,6,FALSE)</f>
        <v>#VALUE!</v>
      </c>
      <c r="F245" s="378"/>
      <c r="G245" s="588" t="s">
        <v>398</v>
      </c>
      <c r="H245" s="949" t="e">
        <f t="shared" ca="1" si="14"/>
        <v>#VALUE!</v>
      </c>
      <c r="I245" s="740" t="str">
        <f t="shared" ca="1" si="10"/>
        <v/>
      </c>
      <c r="J245" s="740" t="str">
        <f t="shared" ca="1" si="11"/>
        <v/>
      </c>
      <c r="K245" s="740" t="str">
        <f t="shared" ca="1" si="12"/>
        <v/>
      </c>
      <c r="L245" s="740" t="str">
        <f t="shared" ca="1" si="13"/>
        <v/>
      </c>
      <c r="M245" s="264"/>
      <c r="N245" s="277"/>
      <c r="O245" s="278"/>
    </row>
    <row r="246" spans="1:15" ht="13.95" customHeight="1" x14ac:dyDescent="0.25">
      <c r="A246" s="169"/>
      <c r="B246" s="273"/>
      <c r="C246" s="378"/>
      <c r="D246" s="588" t="s">
        <v>399</v>
      </c>
      <c r="E246" s="952" t="e">
        <f ca="1">VLOOKUP($D246,Data!$C$2:$H$370,6,FALSE)</f>
        <v>#VALUE!</v>
      </c>
      <c r="F246" s="378"/>
      <c r="G246" s="588" t="s">
        <v>399</v>
      </c>
      <c r="H246" s="949" t="e">
        <f t="shared" ca="1" si="14"/>
        <v>#VALUE!</v>
      </c>
      <c r="I246" s="740" t="str">
        <f t="shared" ca="1" si="10"/>
        <v/>
      </c>
      <c r="J246" s="740" t="str">
        <f t="shared" ca="1" si="11"/>
        <v/>
      </c>
      <c r="K246" s="740" t="str">
        <f t="shared" ca="1" si="12"/>
        <v/>
      </c>
      <c r="L246" s="740" t="str">
        <f t="shared" ca="1" si="13"/>
        <v/>
      </c>
      <c r="M246" s="264"/>
      <c r="N246" s="277"/>
      <c r="O246" s="278"/>
    </row>
    <row r="247" spans="1:15" ht="13.95" customHeight="1" x14ac:dyDescent="0.25">
      <c r="A247" s="169"/>
      <c r="B247" s="273"/>
      <c r="C247" s="378"/>
      <c r="D247" s="588" t="s">
        <v>400</v>
      </c>
      <c r="E247" s="952" t="e">
        <f ca="1">VLOOKUP($D247,Data!$C$2:$H$370,6,FALSE)</f>
        <v>#VALUE!</v>
      </c>
      <c r="F247" s="378"/>
      <c r="G247" s="588" t="s">
        <v>400</v>
      </c>
      <c r="H247" s="949" t="e">
        <f t="shared" ca="1" si="14"/>
        <v>#VALUE!</v>
      </c>
      <c r="I247" s="740" t="str">
        <f t="shared" ca="1" si="10"/>
        <v/>
      </c>
      <c r="J247" s="740" t="str">
        <f t="shared" ca="1" si="11"/>
        <v/>
      </c>
      <c r="K247" s="740" t="str">
        <f t="shared" ca="1" si="12"/>
        <v/>
      </c>
      <c r="L247" s="740" t="str">
        <f t="shared" ca="1" si="13"/>
        <v/>
      </c>
      <c r="M247" s="264"/>
      <c r="N247" s="277"/>
      <c r="O247" s="278"/>
    </row>
    <row r="248" spans="1:15" ht="13.95" customHeight="1" x14ac:dyDescent="0.25">
      <c r="A248" s="169"/>
      <c r="B248" s="273"/>
      <c r="C248" s="378"/>
      <c r="D248" s="588" t="s">
        <v>401</v>
      </c>
      <c r="E248" s="952" t="e">
        <f ca="1">VLOOKUP($D248,Data!$C$2:$H$370,6,FALSE)</f>
        <v>#VALUE!</v>
      </c>
      <c r="F248" s="378"/>
      <c r="G248" s="588" t="s">
        <v>401</v>
      </c>
      <c r="H248" s="949" t="e">
        <f t="shared" ca="1" si="14"/>
        <v>#VALUE!</v>
      </c>
      <c r="I248" s="740" t="str">
        <f t="shared" ca="1" si="10"/>
        <v/>
      </c>
      <c r="J248" s="740" t="str">
        <f t="shared" ca="1" si="11"/>
        <v/>
      </c>
      <c r="K248" s="740" t="str">
        <f t="shared" ca="1" si="12"/>
        <v/>
      </c>
      <c r="L248" s="740" t="str">
        <f t="shared" ca="1" si="13"/>
        <v/>
      </c>
      <c r="M248" s="264"/>
      <c r="N248" s="277"/>
      <c r="O248" s="278"/>
    </row>
    <row r="249" spans="1:15" ht="13.95" customHeight="1" x14ac:dyDescent="0.25">
      <c r="A249" s="169"/>
      <c r="B249" s="273"/>
      <c r="C249" s="378"/>
      <c r="D249" s="588" t="s">
        <v>402</v>
      </c>
      <c r="E249" s="952" t="e">
        <f ca="1">VLOOKUP($D249,Data!$C$2:$H$370,6,FALSE)</f>
        <v>#VALUE!</v>
      </c>
      <c r="F249" s="378"/>
      <c r="G249" s="588" t="s">
        <v>402</v>
      </c>
      <c r="H249" s="949" t="e">
        <f t="shared" ca="1" si="14"/>
        <v>#VALUE!</v>
      </c>
      <c r="I249" s="740" t="str">
        <f t="shared" ca="1" si="10"/>
        <v/>
      </c>
      <c r="J249" s="740" t="str">
        <f t="shared" ca="1" si="11"/>
        <v/>
      </c>
      <c r="K249" s="740" t="str">
        <f t="shared" ca="1" si="12"/>
        <v/>
      </c>
      <c r="L249" s="740" t="str">
        <f t="shared" ca="1" si="13"/>
        <v/>
      </c>
      <c r="M249" s="264"/>
      <c r="N249" s="277"/>
      <c r="O249" s="278"/>
    </row>
    <row r="250" spans="1:15" ht="13.95" customHeight="1" x14ac:dyDescent="0.25">
      <c r="A250" s="169"/>
      <c r="B250" s="273"/>
      <c r="C250" s="378"/>
      <c r="D250" s="588" t="s">
        <v>403</v>
      </c>
      <c r="E250" s="952" t="e">
        <f ca="1">VLOOKUP($D250,Data!$C$2:$H$370,6,FALSE)</f>
        <v>#VALUE!</v>
      </c>
      <c r="F250" s="378"/>
      <c r="G250" s="588" t="s">
        <v>403</v>
      </c>
      <c r="H250" s="949" t="e">
        <f t="shared" ca="1" si="14"/>
        <v>#VALUE!</v>
      </c>
      <c r="I250" s="740" t="str">
        <f t="shared" ca="1" si="10"/>
        <v/>
      </c>
      <c r="J250" s="740" t="str">
        <f t="shared" ca="1" si="11"/>
        <v/>
      </c>
      <c r="K250" s="740" t="str">
        <f t="shared" ca="1" si="12"/>
        <v/>
      </c>
      <c r="L250" s="740" t="str">
        <f t="shared" ca="1" si="13"/>
        <v/>
      </c>
      <c r="M250" s="264"/>
      <c r="N250" s="277"/>
      <c r="O250" s="278"/>
    </row>
    <row r="251" spans="1:15" ht="13.95" customHeight="1" x14ac:dyDescent="0.25">
      <c r="A251" s="169"/>
      <c r="B251" s="273"/>
      <c r="C251" s="378"/>
      <c r="D251" s="588" t="s">
        <v>404</v>
      </c>
      <c r="E251" s="952" t="e">
        <f ca="1">VLOOKUP($D251,Data!$C$2:$H$370,6,FALSE)</f>
        <v>#VALUE!</v>
      </c>
      <c r="F251" s="378"/>
      <c r="G251" s="588" t="s">
        <v>404</v>
      </c>
      <c r="H251" s="949" t="e">
        <f t="shared" ca="1" si="14"/>
        <v>#VALUE!</v>
      </c>
      <c r="I251" s="740" t="str">
        <f t="shared" ca="1" si="10"/>
        <v/>
      </c>
      <c r="J251" s="740" t="str">
        <f t="shared" ca="1" si="11"/>
        <v/>
      </c>
      <c r="K251" s="740" t="str">
        <f t="shared" ca="1" si="12"/>
        <v/>
      </c>
      <c r="L251" s="740" t="str">
        <f t="shared" ca="1" si="13"/>
        <v/>
      </c>
      <c r="M251" s="264"/>
      <c r="N251" s="277"/>
      <c r="O251" s="278"/>
    </row>
    <row r="252" spans="1:15" ht="13.95" customHeight="1" x14ac:dyDescent="0.25">
      <c r="A252" s="169"/>
      <c r="B252" s="273"/>
      <c r="C252" s="378"/>
      <c r="D252" s="588" t="s">
        <v>253</v>
      </c>
      <c r="E252" s="952" t="e">
        <f ca="1">VLOOKUP($D252,Data!$C$2:$H$370,6,FALSE)</f>
        <v>#VALUE!</v>
      </c>
      <c r="F252" s="378"/>
      <c r="G252" s="588" t="s">
        <v>253</v>
      </c>
      <c r="H252" s="949" t="e">
        <f t="shared" ca="1" si="14"/>
        <v>#VALUE!</v>
      </c>
      <c r="I252" s="740" t="str">
        <f t="shared" ca="1" si="10"/>
        <v/>
      </c>
      <c r="J252" s="740" t="str">
        <f t="shared" ca="1" si="11"/>
        <v/>
      </c>
      <c r="K252" s="740" t="str">
        <f t="shared" ca="1" si="12"/>
        <v/>
      </c>
      <c r="L252" s="740" t="str">
        <f t="shared" ca="1" si="13"/>
        <v/>
      </c>
      <c r="M252" s="264"/>
      <c r="N252" s="277"/>
      <c r="O252" s="278"/>
    </row>
    <row r="253" spans="1:15" ht="13.95" customHeight="1" x14ac:dyDescent="0.25">
      <c r="A253" s="169"/>
      <c r="B253" s="273"/>
      <c r="C253" s="378"/>
      <c r="D253" s="588" t="s">
        <v>254</v>
      </c>
      <c r="E253" s="952" t="e">
        <f ca="1">VLOOKUP($D253,Data!$C$2:$H$370,6,FALSE)</f>
        <v>#VALUE!</v>
      </c>
      <c r="F253" s="378"/>
      <c r="G253" s="588" t="s">
        <v>254</v>
      </c>
      <c r="H253" s="949" t="e">
        <f t="shared" ca="1" si="14"/>
        <v>#VALUE!</v>
      </c>
      <c r="I253" s="740" t="str">
        <f t="shared" ca="1" si="10"/>
        <v/>
      </c>
      <c r="J253" s="740" t="str">
        <f t="shared" ca="1" si="11"/>
        <v/>
      </c>
      <c r="K253" s="740" t="str">
        <f t="shared" ca="1" si="12"/>
        <v/>
      </c>
      <c r="L253" s="740" t="str">
        <f t="shared" ca="1" si="13"/>
        <v/>
      </c>
      <c r="M253" s="264"/>
      <c r="N253" s="277"/>
      <c r="O253" s="278"/>
    </row>
    <row r="254" spans="1:15" ht="13.95" customHeight="1" x14ac:dyDescent="0.25">
      <c r="A254" s="169"/>
      <c r="B254" s="273"/>
      <c r="C254" s="378"/>
      <c r="D254" s="588" t="s">
        <v>255</v>
      </c>
      <c r="E254" s="952" t="e">
        <f ca="1">VLOOKUP($D254,Data!$C$2:$H$370,6,FALSE)</f>
        <v>#VALUE!</v>
      </c>
      <c r="F254" s="378"/>
      <c r="G254" s="588" t="s">
        <v>255</v>
      </c>
      <c r="H254" s="949" t="e">
        <f t="shared" ca="1" si="14"/>
        <v>#VALUE!</v>
      </c>
      <c r="I254" s="740" t="str">
        <f t="shared" ca="1" si="10"/>
        <v/>
      </c>
      <c r="J254" s="740" t="str">
        <f t="shared" ca="1" si="11"/>
        <v/>
      </c>
      <c r="K254" s="740" t="str">
        <f t="shared" ca="1" si="12"/>
        <v/>
      </c>
      <c r="L254" s="740" t="str">
        <f t="shared" ca="1" si="13"/>
        <v/>
      </c>
      <c r="M254" s="264"/>
      <c r="N254" s="277"/>
      <c r="O254" s="278"/>
    </row>
    <row r="255" spans="1:15" ht="13.95" customHeight="1" x14ac:dyDescent="0.25">
      <c r="A255" s="169"/>
      <c r="B255" s="273"/>
      <c r="C255" s="378"/>
      <c r="D255" s="588" t="s">
        <v>256</v>
      </c>
      <c r="E255" s="952" t="e">
        <f ca="1">VLOOKUP($D255,Data!$C$2:$H$370,6,FALSE)</f>
        <v>#VALUE!</v>
      </c>
      <c r="F255" s="378"/>
      <c r="G255" s="588" t="s">
        <v>256</v>
      </c>
      <c r="H255" s="949" t="e">
        <f t="shared" ca="1" si="14"/>
        <v>#VALUE!</v>
      </c>
      <c r="I255" s="740" t="str">
        <f t="shared" ca="1" si="10"/>
        <v/>
      </c>
      <c r="J255" s="740" t="str">
        <f t="shared" ca="1" si="11"/>
        <v/>
      </c>
      <c r="K255" s="740" t="str">
        <f t="shared" ca="1" si="12"/>
        <v/>
      </c>
      <c r="L255" s="740" t="str">
        <f t="shared" ca="1" si="13"/>
        <v/>
      </c>
      <c r="M255" s="264"/>
      <c r="N255" s="277"/>
      <c r="O255" s="278"/>
    </row>
    <row r="256" spans="1:15" ht="13.95" customHeight="1" x14ac:dyDescent="0.25">
      <c r="A256" s="169"/>
      <c r="B256" s="273"/>
      <c r="C256" s="378"/>
      <c r="D256" s="588" t="s">
        <v>257</v>
      </c>
      <c r="E256" s="952" t="e">
        <f ca="1">VLOOKUP($D256,Data!$C$2:$H$370,6,FALSE)</f>
        <v>#VALUE!</v>
      </c>
      <c r="F256" s="378"/>
      <c r="G256" s="588" t="s">
        <v>257</v>
      </c>
      <c r="H256" s="949" t="e">
        <f t="shared" ca="1" si="14"/>
        <v>#VALUE!</v>
      </c>
      <c r="I256" s="740" t="str">
        <f t="shared" ca="1" si="10"/>
        <v/>
      </c>
      <c r="J256" s="740" t="str">
        <f t="shared" ca="1" si="11"/>
        <v/>
      </c>
      <c r="K256" s="740" t="str">
        <f t="shared" ca="1" si="12"/>
        <v/>
      </c>
      <c r="L256" s="740" t="str">
        <f t="shared" ca="1" si="13"/>
        <v/>
      </c>
      <c r="M256" s="264"/>
      <c r="N256" s="277"/>
      <c r="O256" s="278"/>
    </row>
    <row r="257" spans="1:15" ht="13.95" customHeight="1" x14ac:dyDescent="0.25">
      <c r="A257" s="169"/>
      <c r="B257" s="273"/>
      <c r="C257" s="378"/>
      <c r="D257" s="588" t="s">
        <v>258</v>
      </c>
      <c r="E257" s="952" t="e">
        <f ca="1">VLOOKUP($D257,Data!$C$2:$H$370,6,FALSE)</f>
        <v>#VALUE!</v>
      </c>
      <c r="F257" s="378"/>
      <c r="G257" s="588" t="s">
        <v>258</v>
      </c>
      <c r="H257" s="949" t="e">
        <f t="shared" ca="1" si="14"/>
        <v>#VALUE!</v>
      </c>
      <c r="I257" s="740" t="str">
        <f t="shared" ca="1" si="10"/>
        <v/>
      </c>
      <c r="J257" s="740" t="str">
        <f t="shared" ca="1" si="11"/>
        <v/>
      </c>
      <c r="K257" s="740" t="str">
        <f t="shared" ca="1" si="12"/>
        <v/>
      </c>
      <c r="L257" s="740" t="str">
        <f t="shared" ca="1" si="13"/>
        <v/>
      </c>
      <c r="M257" s="264"/>
      <c r="N257" s="277"/>
      <c r="O257" s="278"/>
    </row>
    <row r="258" spans="1:15" ht="13.95" customHeight="1" x14ac:dyDescent="0.25">
      <c r="A258" s="169"/>
      <c r="B258" s="273"/>
      <c r="C258" s="378"/>
      <c r="D258" s="588" t="s">
        <v>259</v>
      </c>
      <c r="E258" s="952" t="e">
        <f ca="1">VLOOKUP($D258,Data!$C$2:$H$370,6,FALSE)</f>
        <v>#VALUE!</v>
      </c>
      <c r="F258" s="378"/>
      <c r="G258" s="588" t="s">
        <v>259</v>
      </c>
      <c r="H258" s="949" t="e">
        <f t="shared" ca="1" si="14"/>
        <v>#VALUE!</v>
      </c>
      <c r="I258" s="740" t="str">
        <f t="shared" ca="1" si="10"/>
        <v/>
      </c>
      <c r="J258" s="740" t="str">
        <f t="shared" ca="1" si="11"/>
        <v/>
      </c>
      <c r="K258" s="740" t="str">
        <f t="shared" ca="1" si="12"/>
        <v/>
      </c>
      <c r="L258" s="740" t="str">
        <f t="shared" ca="1" si="13"/>
        <v/>
      </c>
      <c r="M258" s="264"/>
      <c r="N258" s="277"/>
      <c r="O258" s="278"/>
    </row>
    <row r="259" spans="1:15" ht="13.95" customHeight="1" x14ac:dyDescent="0.25">
      <c r="A259" s="169"/>
      <c r="B259" s="273"/>
      <c r="C259" s="378"/>
      <c r="D259" s="588" t="s">
        <v>260</v>
      </c>
      <c r="E259" s="952" t="e">
        <f ca="1">VLOOKUP($D259,Data!$C$2:$H$370,6,FALSE)</f>
        <v>#VALUE!</v>
      </c>
      <c r="F259" s="378"/>
      <c r="G259" s="588" t="s">
        <v>260</v>
      </c>
      <c r="H259" s="949" t="e">
        <f t="shared" ca="1" si="14"/>
        <v>#VALUE!</v>
      </c>
      <c r="I259" s="740" t="str">
        <f t="shared" ca="1" si="10"/>
        <v/>
      </c>
      <c r="J259" s="740" t="str">
        <f t="shared" ca="1" si="11"/>
        <v/>
      </c>
      <c r="K259" s="740" t="str">
        <f t="shared" ca="1" si="12"/>
        <v/>
      </c>
      <c r="L259" s="740" t="str">
        <f t="shared" ca="1" si="13"/>
        <v/>
      </c>
      <c r="M259" s="264"/>
      <c r="N259" s="277"/>
      <c r="O259" s="278"/>
    </row>
    <row r="260" spans="1:15" ht="13.95" customHeight="1" x14ac:dyDescent="0.25">
      <c r="A260" s="169"/>
      <c r="B260" s="273"/>
      <c r="C260" s="378"/>
      <c r="D260" s="588" t="s">
        <v>261</v>
      </c>
      <c r="E260" s="952" t="e">
        <f ca="1">VLOOKUP($D260,Data!$C$2:$H$370,6,FALSE)</f>
        <v>#VALUE!</v>
      </c>
      <c r="F260" s="378"/>
      <c r="G260" s="588" t="s">
        <v>261</v>
      </c>
      <c r="H260" s="949" t="e">
        <f t="shared" ca="1" si="14"/>
        <v>#VALUE!</v>
      </c>
      <c r="I260" s="740" t="str">
        <f t="shared" ca="1" si="10"/>
        <v/>
      </c>
      <c r="J260" s="740" t="str">
        <f t="shared" ca="1" si="11"/>
        <v/>
      </c>
      <c r="K260" s="740" t="str">
        <f t="shared" ca="1" si="12"/>
        <v/>
      </c>
      <c r="L260" s="740" t="str">
        <f t="shared" ca="1" si="13"/>
        <v/>
      </c>
      <c r="M260" s="264"/>
      <c r="N260" s="277"/>
      <c r="O260" s="278"/>
    </row>
    <row r="261" spans="1:15" ht="13.95" customHeight="1" x14ac:dyDescent="0.25">
      <c r="A261" s="169"/>
      <c r="B261" s="273"/>
      <c r="C261" s="378"/>
      <c r="D261" s="588" t="s">
        <v>262</v>
      </c>
      <c r="E261" s="952" t="e">
        <f ca="1">VLOOKUP($D261,Data!$C$2:$H$370,6,FALSE)</f>
        <v>#VALUE!</v>
      </c>
      <c r="F261" s="378"/>
      <c r="G261" s="588" t="s">
        <v>262</v>
      </c>
      <c r="H261" s="949" t="e">
        <f t="shared" ca="1" si="14"/>
        <v>#VALUE!</v>
      </c>
      <c r="I261" s="740" t="str">
        <f t="shared" ca="1" si="10"/>
        <v/>
      </c>
      <c r="J261" s="740" t="str">
        <f t="shared" ca="1" si="11"/>
        <v/>
      </c>
      <c r="K261" s="740" t="str">
        <f t="shared" ca="1" si="12"/>
        <v/>
      </c>
      <c r="L261" s="740" t="str">
        <f t="shared" ca="1" si="13"/>
        <v/>
      </c>
      <c r="M261" s="264"/>
      <c r="N261" s="277"/>
      <c r="O261" s="278"/>
    </row>
    <row r="262" spans="1:15" ht="13.95" customHeight="1" x14ac:dyDescent="0.25">
      <c r="A262" s="169"/>
      <c r="B262" s="273"/>
      <c r="C262" s="378"/>
      <c r="D262" s="588" t="s">
        <v>263</v>
      </c>
      <c r="E262" s="952" t="e">
        <f ca="1">VLOOKUP($D262,Data!$C$2:$H$370,6,FALSE)</f>
        <v>#VALUE!</v>
      </c>
      <c r="F262" s="378"/>
      <c r="G262" s="588" t="s">
        <v>263</v>
      </c>
      <c r="H262" s="949" t="e">
        <f t="shared" ca="1" si="14"/>
        <v>#VALUE!</v>
      </c>
      <c r="I262" s="740" t="str">
        <f t="shared" ca="1" si="10"/>
        <v/>
      </c>
      <c r="J262" s="740" t="str">
        <f t="shared" ca="1" si="11"/>
        <v/>
      </c>
      <c r="K262" s="740" t="str">
        <f t="shared" ca="1" si="12"/>
        <v/>
      </c>
      <c r="L262" s="740" t="str">
        <f t="shared" ca="1" si="13"/>
        <v/>
      </c>
      <c r="M262" s="264"/>
      <c r="N262" s="277"/>
      <c r="O262" s="278"/>
    </row>
    <row r="263" spans="1:15" ht="13.95" customHeight="1" x14ac:dyDescent="0.25">
      <c r="A263" s="169"/>
      <c r="B263" s="273"/>
      <c r="C263" s="378"/>
      <c r="D263" s="588" t="s">
        <v>264</v>
      </c>
      <c r="E263" s="952" t="e">
        <f ca="1">VLOOKUP($D263,Data!$C$2:$H$370,6,FALSE)</f>
        <v>#VALUE!</v>
      </c>
      <c r="F263" s="378"/>
      <c r="G263" s="588" t="s">
        <v>264</v>
      </c>
      <c r="H263" s="949" t="e">
        <f t="shared" ca="1" si="14"/>
        <v>#VALUE!</v>
      </c>
      <c r="I263" s="740" t="str">
        <f t="shared" ca="1" si="10"/>
        <v/>
      </c>
      <c r="J263" s="740" t="str">
        <f t="shared" ca="1" si="11"/>
        <v/>
      </c>
      <c r="K263" s="740" t="str">
        <f t="shared" ca="1" si="12"/>
        <v/>
      </c>
      <c r="L263" s="740" t="str">
        <f t="shared" ca="1" si="13"/>
        <v/>
      </c>
      <c r="M263" s="264"/>
      <c r="N263" s="277"/>
      <c r="O263" s="278"/>
    </row>
    <row r="264" spans="1:15" ht="13.95" customHeight="1" x14ac:dyDescent="0.25">
      <c r="A264" s="169"/>
      <c r="B264" s="273"/>
      <c r="C264" s="378"/>
      <c r="D264" s="588" t="s">
        <v>265</v>
      </c>
      <c r="E264" s="952" t="e">
        <f ca="1">VLOOKUP($D264,Data!$C$2:$H$370,6,FALSE)</f>
        <v>#VALUE!</v>
      </c>
      <c r="F264" s="378"/>
      <c r="G264" s="588" t="s">
        <v>265</v>
      </c>
      <c r="H264" s="949" t="e">
        <f t="shared" ca="1" si="14"/>
        <v>#VALUE!</v>
      </c>
      <c r="I264" s="740" t="str">
        <f t="shared" ca="1" si="10"/>
        <v/>
      </c>
      <c r="J264" s="740" t="str">
        <f t="shared" ca="1" si="11"/>
        <v/>
      </c>
      <c r="K264" s="740" t="str">
        <f t="shared" ca="1" si="12"/>
        <v/>
      </c>
      <c r="L264" s="740" t="str">
        <f t="shared" ca="1" si="13"/>
        <v/>
      </c>
      <c r="M264" s="264"/>
      <c r="N264" s="277"/>
      <c r="O264" s="278"/>
    </row>
    <row r="265" spans="1:15" ht="13.95" customHeight="1" x14ac:dyDescent="0.25">
      <c r="A265" s="169"/>
      <c r="B265" s="273"/>
      <c r="C265" s="378"/>
      <c r="D265" s="588" t="s">
        <v>266</v>
      </c>
      <c r="E265" s="952" t="e">
        <f ca="1">VLOOKUP($D265,Data!$C$2:$H$370,6,FALSE)</f>
        <v>#VALUE!</v>
      </c>
      <c r="F265" s="378"/>
      <c r="G265" s="588" t="s">
        <v>266</v>
      </c>
      <c r="H265" s="949" t="e">
        <f t="shared" ca="1" si="14"/>
        <v>#VALUE!</v>
      </c>
      <c r="I265" s="740" t="str">
        <f t="shared" ca="1" si="10"/>
        <v/>
      </c>
      <c r="J265" s="740" t="str">
        <f t="shared" ca="1" si="11"/>
        <v/>
      </c>
      <c r="K265" s="740" t="str">
        <f t="shared" ca="1" si="12"/>
        <v/>
      </c>
      <c r="L265" s="740" t="str">
        <f t="shared" ca="1" si="13"/>
        <v/>
      </c>
      <c r="M265" s="264"/>
      <c r="N265" s="277"/>
      <c r="O265" s="278"/>
    </row>
    <row r="266" spans="1:15" ht="13.95" customHeight="1" x14ac:dyDescent="0.25">
      <c r="A266" s="169"/>
      <c r="B266" s="273"/>
      <c r="C266" s="378"/>
      <c r="D266" s="588" t="s">
        <v>267</v>
      </c>
      <c r="E266" s="952" t="e">
        <f ca="1">VLOOKUP($D266,Data!$C$2:$H$370,6,FALSE)</f>
        <v>#VALUE!</v>
      </c>
      <c r="F266" s="378"/>
      <c r="G266" s="588" t="s">
        <v>267</v>
      </c>
      <c r="H266" s="949" t="e">
        <f t="shared" ca="1" si="14"/>
        <v>#VALUE!</v>
      </c>
      <c r="I266" s="740" t="str">
        <f t="shared" ca="1" si="10"/>
        <v/>
      </c>
      <c r="J266" s="740" t="str">
        <f t="shared" ca="1" si="11"/>
        <v/>
      </c>
      <c r="K266" s="740" t="str">
        <f t="shared" ca="1" si="12"/>
        <v/>
      </c>
      <c r="L266" s="740" t="str">
        <f t="shared" ca="1" si="13"/>
        <v/>
      </c>
      <c r="M266" s="264"/>
      <c r="N266" s="277"/>
      <c r="O266" s="278"/>
    </row>
    <row r="267" spans="1:15" ht="13.95" customHeight="1" x14ac:dyDescent="0.25">
      <c r="A267" s="169"/>
      <c r="B267" s="273"/>
      <c r="C267" s="378"/>
      <c r="D267" s="588" t="s">
        <v>268</v>
      </c>
      <c r="E267" s="952" t="e">
        <f ca="1">VLOOKUP($D267,Data!$C$2:$H$370,6,FALSE)</f>
        <v>#VALUE!</v>
      </c>
      <c r="F267" s="378"/>
      <c r="G267" s="588" t="s">
        <v>268</v>
      </c>
      <c r="H267" s="949" t="e">
        <f t="shared" ca="1" si="14"/>
        <v>#VALUE!</v>
      </c>
      <c r="I267" s="740" t="str">
        <f t="shared" ca="1" si="10"/>
        <v/>
      </c>
      <c r="J267" s="740" t="str">
        <f t="shared" ca="1" si="11"/>
        <v/>
      </c>
      <c r="K267" s="740" t="str">
        <f t="shared" ca="1" si="12"/>
        <v/>
      </c>
      <c r="L267" s="740" t="str">
        <f t="shared" ca="1" si="13"/>
        <v/>
      </c>
      <c r="M267" s="264"/>
      <c r="N267" s="277"/>
      <c r="O267" s="278"/>
    </row>
    <row r="268" spans="1:15" ht="13.95" customHeight="1" x14ac:dyDescent="0.25">
      <c r="A268" s="169"/>
      <c r="B268" s="273"/>
      <c r="C268" s="378"/>
      <c r="D268" s="588" t="s">
        <v>269</v>
      </c>
      <c r="E268" s="952" t="e">
        <f ca="1">VLOOKUP($D268,Data!$C$2:$H$370,6,FALSE)</f>
        <v>#VALUE!</v>
      </c>
      <c r="F268" s="378"/>
      <c r="G268" s="588" t="s">
        <v>269</v>
      </c>
      <c r="H268" s="949" t="e">
        <f t="shared" ca="1" si="14"/>
        <v>#VALUE!</v>
      </c>
      <c r="I268" s="740" t="str">
        <f t="shared" ca="1" si="10"/>
        <v/>
      </c>
      <c r="J268" s="740" t="str">
        <f t="shared" ca="1" si="11"/>
        <v/>
      </c>
      <c r="K268" s="740" t="str">
        <f t="shared" ca="1" si="12"/>
        <v/>
      </c>
      <c r="L268" s="740" t="str">
        <f t="shared" ca="1" si="13"/>
        <v/>
      </c>
      <c r="M268" s="264"/>
      <c r="N268" s="277"/>
      <c r="O268" s="278"/>
    </row>
    <row r="269" spans="1:15" ht="13.95" customHeight="1" x14ac:dyDescent="0.25">
      <c r="A269" s="169"/>
      <c r="B269" s="273"/>
      <c r="C269" s="378"/>
      <c r="D269" s="588" t="s">
        <v>270</v>
      </c>
      <c r="E269" s="952" t="e">
        <f ca="1">VLOOKUP($D269,Data!$C$2:$H$370,6,FALSE)</f>
        <v>#VALUE!</v>
      </c>
      <c r="F269" s="378"/>
      <c r="G269" s="588" t="s">
        <v>270</v>
      </c>
      <c r="H269" s="949" t="e">
        <f t="shared" ca="1" si="14"/>
        <v>#VALUE!</v>
      </c>
      <c r="I269" s="740" t="str">
        <f t="shared" ca="1" si="10"/>
        <v/>
      </c>
      <c r="J269" s="740" t="str">
        <f t="shared" ca="1" si="11"/>
        <v/>
      </c>
      <c r="K269" s="740" t="str">
        <f t="shared" ca="1" si="12"/>
        <v/>
      </c>
      <c r="L269" s="740" t="str">
        <f t="shared" ca="1" si="13"/>
        <v/>
      </c>
      <c r="M269" s="264"/>
      <c r="N269" s="277"/>
      <c r="O269" s="278"/>
    </row>
    <row r="270" spans="1:15" ht="13.95" customHeight="1" x14ac:dyDescent="0.25">
      <c r="A270" s="169"/>
      <c r="B270" s="273"/>
      <c r="C270" s="378"/>
      <c r="D270" s="588" t="s">
        <v>271</v>
      </c>
      <c r="E270" s="952" t="e">
        <f ca="1">VLOOKUP($D270,Data!$C$2:$H$370,6,FALSE)</f>
        <v>#VALUE!</v>
      </c>
      <c r="F270" s="378"/>
      <c r="G270" s="588" t="s">
        <v>271</v>
      </c>
      <c r="H270" s="949" t="e">
        <f t="shared" ca="1" si="14"/>
        <v>#VALUE!</v>
      </c>
      <c r="I270" s="740" t="str">
        <f t="shared" ca="1" si="10"/>
        <v/>
      </c>
      <c r="J270" s="740" t="str">
        <f t="shared" ca="1" si="11"/>
        <v/>
      </c>
      <c r="K270" s="740" t="str">
        <f t="shared" ca="1" si="12"/>
        <v/>
      </c>
      <c r="L270" s="740" t="str">
        <f t="shared" ca="1" si="13"/>
        <v/>
      </c>
      <c r="M270" s="264"/>
      <c r="N270" s="277"/>
      <c r="O270" s="278"/>
    </row>
    <row r="271" spans="1:15" ht="13.95" customHeight="1" x14ac:dyDescent="0.25">
      <c r="A271" s="169"/>
      <c r="B271" s="273"/>
      <c r="C271" s="378"/>
      <c r="D271" s="588" t="s">
        <v>272</v>
      </c>
      <c r="E271" s="952" t="e">
        <f ca="1">VLOOKUP($D271,Data!$C$2:$H$370,6,FALSE)</f>
        <v>#VALUE!</v>
      </c>
      <c r="F271" s="378"/>
      <c r="G271" s="588" t="s">
        <v>272</v>
      </c>
      <c r="H271" s="949" t="e">
        <f t="shared" ca="1" si="14"/>
        <v>#VALUE!</v>
      </c>
      <c r="I271" s="740" t="str">
        <f t="shared" ref="I271:I334" ca="1" si="15">IF(VLOOKUP(RIGHT($G271,LEN($G271)-FIND("-",$G271)), INDIRECT("'"&amp;LEFT($G271,FIND("-",$G271)-1)&amp;"'!"&amp;"$D:$K"), 5,FALSE) = 0, "",
VLOOKUP(RIGHT($G271,LEN($G271)-FIND("-",$G271)), INDIRECT("'"&amp;LEFT($G271,FIND("-",$G271)-1)&amp;"'!"&amp;"$D:$K"), 5,FALSE) )</f>
        <v/>
      </c>
      <c r="J271" s="740" t="str">
        <f t="shared" ref="J271:J334" ca="1" si="16">IF(VLOOKUP(RIGHT($G271,LEN($G271)-FIND("-",$G271)), INDIRECT("'"&amp;LEFT($G271,FIND("-",$G271)-1)&amp;"'!"&amp;"$D:$K"), 6,FALSE) = 0, "",
VLOOKUP(RIGHT($G271,LEN($G271)-FIND("-",$G271)), INDIRECT("'"&amp;LEFT($G271,FIND("-",$G271)-1)&amp;"'!"&amp;"$D:$K"), 6,FALSE) )</f>
        <v/>
      </c>
      <c r="K271" s="740" t="str">
        <f t="shared" ref="K271:K334" ca="1" si="17">IF(VLOOKUP(RIGHT($G271,LEN($G271)-FIND("-",$G271)), INDIRECT("'"&amp;LEFT($G271,FIND("-",$G271)-1)&amp;"'!"&amp;"$D:$K"), 7,FALSE) = 0, "",
VLOOKUP(RIGHT($G271,LEN($G271)-FIND("-",$G271)), INDIRECT("'"&amp;LEFT($G271,FIND("-",$G271)-1)&amp;"'!"&amp;"$D:$K"), 7,FALSE) )</f>
        <v/>
      </c>
      <c r="L271" s="740" t="str">
        <f t="shared" ref="L271:L334" ca="1" si="18">IF(VLOOKUP(RIGHT($G271,LEN($G271)-FIND("-",$G271)), INDIRECT("'"&amp;LEFT($G271,FIND("-",$G271)-1)&amp;"'!"&amp;"$D:$K"), 8,FALSE) = 0, "",
VLOOKUP(RIGHT($G271,LEN($G271)-FIND("-",$G271)), INDIRECT("'"&amp;LEFT($G271,FIND("-",$G271)-1)&amp;"'!"&amp;"$D:$K"), 8,FALSE) )</f>
        <v/>
      </c>
      <c r="M271" s="264"/>
      <c r="N271" s="277"/>
      <c r="O271" s="278"/>
    </row>
    <row r="272" spans="1:15" ht="13.95" customHeight="1" x14ac:dyDescent="0.25">
      <c r="A272" s="169"/>
      <c r="B272" s="273"/>
      <c r="C272" s="378"/>
      <c r="D272" s="588" t="s">
        <v>273</v>
      </c>
      <c r="E272" s="952" t="e">
        <f ca="1">VLOOKUP($D272,Data!$C$2:$H$370,6,FALSE)</f>
        <v>#VALUE!</v>
      </c>
      <c r="F272" s="378"/>
      <c r="G272" s="588" t="s">
        <v>273</v>
      </c>
      <c r="H272" s="949" t="e">
        <f t="shared" ref="H272:H335" ca="1" si="19">INT(LEFT(
VLOOKUP(RIGHT($G272,LEN($G272)-FIND("-",$G272)), INDIRECT("'"&amp;LEFT($G272,FIND("-",$G272)-1)&amp;"'!"&amp;"$D:$K"), 4,FALSE), 1)
)</f>
        <v>#VALUE!</v>
      </c>
      <c r="I272" s="740" t="str">
        <f t="shared" ca="1" si="15"/>
        <v/>
      </c>
      <c r="J272" s="740" t="str">
        <f t="shared" ca="1" si="16"/>
        <v/>
      </c>
      <c r="K272" s="740" t="str">
        <f t="shared" ca="1" si="17"/>
        <v/>
      </c>
      <c r="L272" s="740" t="str">
        <f t="shared" ca="1" si="18"/>
        <v/>
      </c>
      <c r="M272" s="264"/>
      <c r="N272" s="277"/>
      <c r="O272" s="278"/>
    </row>
    <row r="273" spans="1:15" ht="13.95" customHeight="1" x14ac:dyDescent="0.25">
      <c r="A273" s="169"/>
      <c r="B273" s="273"/>
      <c r="C273" s="378"/>
      <c r="D273" s="588" t="s">
        <v>274</v>
      </c>
      <c r="E273" s="952" t="e">
        <f ca="1">VLOOKUP($D273,Data!$C$2:$H$370,6,FALSE)</f>
        <v>#VALUE!</v>
      </c>
      <c r="F273" s="378"/>
      <c r="G273" s="588" t="s">
        <v>274</v>
      </c>
      <c r="H273" s="949" t="e">
        <f t="shared" ca="1" si="19"/>
        <v>#VALUE!</v>
      </c>
      <c r="I273" s="740" t="str">
        <f t="shared" ca="1" si="15"/>
        <v/>
      </c>
      <c r="J273" s="740" t="str">
        <f t="shared" ca="1" si="16"/>
        <v/>
      </c>
      <c r="K273" s="740" t="str">
        <f t="shared" ca="1" si="17"/>
        <v/>
      </c>
      <c r="L273" s="740" t="str">
        <f t="shared" ca="1" si="18"/>
        <v/>
      </c>
      <c r="M273" s="264"/>
      <c r="N273" s="277"/>
      <c r="O273" s="278"/>
    </row>
    <row r="274" spans="1:15" ht="13.95" customHeight="1" x14ac:dyDescent="0.25">
      <c r="A274" s="169"/>
      <c r="B274" s="273"/>
      <c r="C274" s="378"/>
      <c r="D274" s="588" t="s">
        <v>275</v>
      </c>
      <c r="E274" s="952" t="e">
        <f ca="1">VLOOKUP($D274,Data!$C$2:$H$370,6,FALSE)</f>
        <v>#VALUE!</v>
      </c>
      <c r="F274" s="378"/>
      <c r="G274" s="588" t="s">
        <v>275</v>
      </c>
      <c r="H274" s="949" t="e">
        <f t="shared" ca="1" si="19"/>
        <v>#VALUE!</v>
      </c>
      <c r="I274" s="740" t="str">
        <f t="shared" ca="1" si="15"/>
        <v/>
      </c>
      <c r="J274" s="740" t="str">
        <f t="shared" ca="1" si="16"/>
        <v/>
      </c>
      <c r="K274" s="740" t="str">
        <f t="shared" ca="1" si="17"/>
        <v/>
      </c>
      <c r="L274" s="740" t="str">
        <f t="shared" ca="1" si="18"/>
        <v/>
      </c>
      <c r="M274" s="264"/>
      <c r="N274" s="277"/>
      <c r="O274" s="278"/>
    </row>
    <row r="275" spans="1:15" ht="13.95" customHeight="1" x14ac:dyDescent="0.25">
      <c r="A275" s="169"/>
      <c r="B275" s="273"/>
      <c r="C275" s="378"/>
      <c r="D275" s="588" t="s">
        <v>276</v>
      </c>
      <c r="E275" s="952" t="e">
        <f ca="1">VLOOKUP($D275,Data!$C$2:$H$370,6,FALSE)</f>
        <v>#VALUE!</v>
      </c>
      <c r="F275" s="378"/>
      <c r="G275" s="588" t="s">
        <v>276</v>
      </c>
      <c r="H275" s="949" t="e">
        <f t="shared" ca="1" si="19"/>
        <v>#VALUE!</v>
      </c>
      <c r="I275" s="740" t="str">
        <f t="shared" ca="1" si="15"/>
        <v/>
      </c>
      <c r="J275" s="740" t="str">
        <f t="shared" ca="1" si="16"/>
        <v/>
      </c>
      <c r="K275" s="740" t="str">
        <f t="shared" ca="1" si="17"/>
        <v/>
      </c>
      <c r="L275" s="740" t="str">
        <f t="shared" ca="1" si="18"/>
        <v/>
      </c>
      <c r="M275" s="264"/>
      <c r="N275" s="277"/>
      <c r="O275" s="278"/>
    </row>
    <row r="276" spans="1:15" ht="13.95" customHeight="1" x14ac:dyDescent="0.25">
      <c r="A276" s="169"/>
      <c r="B276" s="273"/>
      <c r="C276" s="378"/>
      <c r="D276" s="588" t="s">
        <v>278</v>
      </c>
      <c r="E276" s="952" t="e">
        <f ca="1">VLOOKUP($D276,Data!$C$2:$H$370,6,FALSE)</f>
        <v>#VALUE!</v>
      </c>
      <c r="F276" s="378"/>
      <c r="G276" s="588" t="s">
        <v>278</v>
      </c>
      <c r="H276" s="949" t="e">
        <f t="shared" ca="1" si="19"/>
        <v>#VALUE!</v>
      </c>
      <c r="I276" s="740" t="str">
        <f t="shared" ca="1" si="15"/>
        <v/>
      </c>
      <c r="J276" s="740" t="str">
        <f t="shared" ca="1" si="16"/>
        <v/>
      </c>
      <c r="K276" s="740" t="str">
        <f t="shared" ca="1" si="17"/>
        <v/>
      </c>
      <c r="L276" s="740" t="str">
        <f t="shared" ca="1" si="18"/>
        <v/>
      </c>
      <c r="M276" s="264"/>
      <c r="N276" s="277"/>
      <c r="O276" s="278"/>
    </row>
    <row r="277" spans="1:15" ht="13.95" customHeight="1" x14ac:dyDescent="0.25">
      <c r="A277" s="169"/>
      <c r="B277" s="273"/>
      <c r="C277" s="378"/>
      <c r="D277" s="588" t="s">
        <v>1060</v>
      </c>
      <c r="E277" s="952" t="e">
        <f ca="1">VLOOKUP($D277,Data!$C$2:$H$370,6,FALSE)</f>
        <v>#VALUE!</v>
      </c>
      <c r="F277" s="378"/>
      <c r="G277" s="588" t="s">
        <v>1060</v>
      </c>
      <c r="H277" s="949" t="e">
        <f t="shared" ca="1" si="19"/>
        <v>#VALUE!</v>
      </c>
      <c r="I277" s="740" t="str">
        <f t="shared" ca="1" si="15"/>
        <v/>
      </c>
      <c r="J277" s="740" t="str">
        <f t="shared" ca="1" si="16"/>
        <v/>
      </c>
      <c r="K277" s="740" t="str">
        <f t="shared" ca="1" si="17"/>
        <v/>
      </c>
      <c r="L277" s="740" t="str">
        <f t="shared" ca="1" si="18"/>
        <v/>
      </c>
      <c r="M277" s="264"/>
      <c r="N277" s="277"/>
      <c r="O277" s="278"/>
    </row>
    <row r="278" spans="1:15" ht="13.95" customHeight="1" x14ac:dyDescent="0.25">
      <c r="A278" s="169"/>
      <c r="B278" s="273"/>
      <c r="C278" s="378"/>
      <c r="D278" s="588" t="s">
        <v>280</v>
      </c>
      <c r="E278" s="952" t="e">
        <f ca="1">VLOOKUP($D278,Data!$C$2:$H$370,6,FALSE)</f>
        <v>#VALUE!</v>
      </c>
      <c r="F278" s="378"/>
      <c r="G278" s="588" t="s">
        <v>280</v>
      </c>
      <c r="H278" s="949" t="e">
        <f t="shared" ca="1" si="19"/>
        <v>#VALUE!</v>
      </c>
      <c r="I278" s="740" t="str">
        <f t="shared" ca="1" si="15"/>
        <v/>
      </c>
      <c r="J278" s="740" t="str">
        <f t="shared" ca="1" si="16"/>
        <v/>
      </c>
      <c r="K278" s="740" t="str">
        <f t="shared" ca="1" si="17"/>
        <v/>
      </c>
      <c r="L278" s="740" t="str">
        <f t="shared" ca="1" si="18"/>
        <v/>
      </c>
      <c r="M278" s="264"/>
      <c r="N278" s="277"/>
      <c r="O278" s="278"/>
    </row>
    <row r="279" spans="1:15" ht="13.95" customHeight="1" x14ac:dyDescent="0.25">
      <c r="A279" s="169"/>
      <c r="B279" s="273"/>
      <c r="C279" s="378"/>
      <c r="D279" s="588" t="s">
        <v>281</v>
      </c>
      <c r="E279" s="952" t="e">
        <f ca="1">VLOOKUP($D279,Data!$C$2:$H$370,6,FALSE)</f>
        <v>#VALUE!</v>
      </c>
      <c r="F279" s="378"/>
      <c r="G279" s="588" t="s">
        <v>281</v>
      </c>
      <c r="H279" s="949" t="e">
        <f t="shared" ca="1" si="19"/>
        <v>#VALUE!</v>
      </c>
      <c r="I279" s="740" t="str">
        <f t="shared" ca="1" si="15"/>
        <v/>
      </c>
      <c r="J279" s="740" t="str">
        <f t="shared" ca="1" si="16"/>
        <v/>
      </c>
      <c r="K279" s="740" t="str">
        <f t="shared" ca="1" si="17"/>
        <v/>
      </c>
      <c r="L279" s="740" t="str">
        <f t="shared" ca="1" si="18"/>
        <v/>
      </c>
      <c r="M279" s="264"/>
      <c r="N279" s="277"/>
      <c r="O279" s="278"/>
    </row>
    <row r="280" spans="1:15" ht="13.95" customHeight="1" x14ac:dyDescent="0.25">
      <c r="A280" s="169"/>
      <c r="B280" s="273"/>
      <c r="C280" s="378"/>
      <c r="D280" s="588" t="s">
        <v>282</v>
      </c>
      <c r="E280" s="952" t="e">
        <f ca="1">VLOOKUP($D280,Data!$C$2:$H$370,6,FALSE)</f>
        <v>#VALUE!</v>
      </c>
      <c r="F280" s="378"/>
      <c r="G280" s="588" t="s">
        <v>282</v>
      </c>
      <c r="H280" s="949" t="e">
        <f t="shared" ca="1" si="19"/>
        <v>#VALUE!</v>
      </c>
      <c r="I280" s="740" t="str">
        <f t="shared" ca="1" si="15"/>
        <v/>
      </c>
      <c r="J280" s="740" t="str">
        <f t="shared" ca="1" si="16"/>
        <v/>
      </c>
      <c r="K280" s="740" t="str">
        <f t="shared" ca="1" si="17"/>
        <v/>
      </c>
      <c r="L280" s="740" t="str">
        <f t="shared" ca="1" si="18"/>
        <v/>
      </c>
      <c r="M280" s="264"/>
      <c r="N280" s="277"/>
      <c r="O280" s="278"/>
    </row>
    <row r="281" spans="1:15" ht="13.95" customHeight="1" x14ac:dyDescent="0.25">
      <c r="A281" s="169"/>
      <c r="B281" s="273"/>
      <c r="C281" s="378"/>
      <c r="D281" s="588" t="s">
        <v>283</v>
      </c>
      <c r="E281" s="952" t="e">
        <f ca="1">VLOOKUP($D281,Data!$C$2:$H$370,6,FALSE)</f>
        <v>#VALUE!</v>
      </c>
      <c r="F281" s="378"/>
      <c r="G281" s="588" t="s">
        <v>283</v>
      </c>
      <c r="H281" s="949" t="e">
        <f t="shared" ca="1" si="19"/>
        <v>#VALUE!</v>
      </c>
      <c r="I281" s="740" t="str">
        <f t="shared" ca="1" si="15"/>
        <v/>
      </c>
      <c r="J281" s="740" t="str">
        <f t="shared" ca="1" si="16"/>
        <v/>
      </c>
      <c r="K281" s="740" t="str">
        <f t="shared" ca="1" si="17"/>
        <v/>
      </c>
      <c r="L281" s="740" t="str">
        <f t="shared" ca="1" si="18"/>
        <v/>
      </c>
      <c r="M281" s="264"/>
      <c r="N281" s="277"/>
      <c r="O281" s="278"/>
    </row>
    <row r="282" spans="1:15" ht="13.95" customHeight="1" x14ac:dyDescent="0.25">
      <c r="A282" s="169"/>
      <c r="B282" s="273"/>
      <c r="C282" s="378"/>
      <c r="D282" s="588" t="s">
        <v>284</v>
      </c>
      <c r="E282" s="952" t="e">
        <f ca="1">VLOOKUP($D282,Data!$C$2:$H$370,6,FALSE)</f>
        <v>#VALUE!</v>
      </c>
      <c r="F282" s="378"/>
      <c r="G282" s="588" t="s">
        <v>284</v>
      </c>
      <c r="H282" s="949" t="e">
        <f t="shared" ca="1" si="19"/>
        <v>#VALUE!</v>
      </c>
      <c r="I282" s="740" t="str">
        <f t="shared" ca="1" si="15"/>
        <v/>
      </c>
      <c r="J282" s="740" t="str">
        <f t="shared" ca="1" si="16"/>
        <v/>
      </c>
      <c r="K282" s="740" t="str">
        <f t="shared" ca="1" si="17"/>
        <v/>
      </c>
      <c r="L282" s="740" t="str">
        <f t="shared" ca="1" si="18"/>
        <v/>
      </c>
      <c r="M282" s="264"/>
      <c r="N282" s="277"/>
      <c r="O282" s="278"/>
    </row>
    <row r="283" spans="1:15" ht="13.95" customHeight="1" x14ac:dyDescent="0.25">
      <c r="A283" s="169"/>
      <c r="B283" s="273"/>
      <c r="C283" s="378"/>
      <c r="D283" s="588" t="s">
        <v>285</v>
      </c>
      <c r="E283" s="952" t="e">
        <f ca="1">VLOOKUP($D283,Data!$C$2:$H$370,6,FALSE)</f>
        <v>#VALUE!</v>
      </c>
      <c r="F283" s="378"/>
      <c r="G283" s="588" t="s">
        <v>285</v>
      </c>
      <c r="H283" s="949" t="e">
        <f t="shared" ca="1" si="19"/>
        <v>#VALUE!</v>
      </c>
      <c r="I283" s="740" t="str">
        <f t="shared" ca="1" si="15"/>
        <v/>
      </c>
      <c r="J283" s="740" t="str">
        <f t="shared" ca="1" si="16"/>
        <v/>
      </c>
      <c r="K283" s="740" t="str">
        <f t="shared" ca="1" si="17"/>
        <v/>
      </c>
      <c r="L283" s="740" t="str">
        <f t="shared" ca="1" si="18"/>
        <v/>
      </c>
      <c r="M283" s="264"/>
      <c r="N283" s="277"/>
      <c r="O283" s="278"/>
    </row>
    <row r="284" spans="1:15" ht="13.95" customHeight="1" x14ac:dyDescent="0.25">
      <c r="A284" s="169"/>
      <c r="B284" s="273"/>
      <c r="C284" s="378"/>
      <c r="D284" s="588" t="s">
        <v>286</v>
      </c>
      <c r="E284" s="952" t="e">
        <f ca="1">VLOOKUP($D284,Data!$C$2:$H$370,6,FALSE)</f>
        <v>#VALUE!</v>
      </c>
      <c r="F284" s="378"/>
      <c r="G284" s="588" t="s">
        <v>286</v>
      </c>
      <c r="H284" s="949" t="e">
        <f t="shared" ca="1" si="19"/>
        <v>#VALUE!</v>
      </c>
      <c r="I284" s="740" t="str">
        <f t="shared" ca="1" si="15"/>
        <v/>
      </c>
      <c r="J284" s="740" t="str">
        <f t="shared" ca="1" si="16"/>
        <v/>
      </c>
      <c r="K284" s="740" t="str">
        <f t="shared" ca="1" si="17"/>
        <v/>
      </c>
      <c r="L284" s="740" t="str">
        <f t="shared" ca="1" si="18"/>
        <v/>
      </c>
      <c r="M284" s="264"/>
      <c r="N284" s="277"/>
      <c r="O284" s="278"/>
    </row>
    <row r="285" spans="1:15" ht="13.95" customHeight="1" x14ac:dyDescent="0.25">
      <c r="A285" s="169"/>
      <c r="B285" s="273"/>
      <c r="C285" s="378"/>
      <c r="D285" s="588" t="s">
        <v>1061</v>
      </c>
      <c r="E285" s="952" t="e">
        <f ca="1">VLOOKUP($D285,Data!$C$2:$H$370,6,FALSE)</f>
        <v>#VALUE!</v>
      </c>
      <c r="F285" s="378"/>
      <c r="G285" s="588" t="s">
        <v>1061</v>
      </c>
      <c r="H285" s="949" t="e">
        <f t="shared" ca="1" si="19"/>
        <v>#VALUE!</v>
      </c>
      <c r="I285" s="740" t="str">
        <f t="shared" ca="1" si="15"/>
        <v/>
      </c>
      <c r="J285" s="740" t="str">
        <f t="shared" ca="1" si="16"/>
        <v/>
      </c>
      <c r="K285" s="740" t="str">
        <f t="shared" ca="1" si="17"/>
        <v/>
      </c>
      <c r="L285" s="740" t="str">
        <f t="shared" ca="1" si="18"/>
        <v/>
      </c>
      <c r="M285" s="264"/>
      <c r="N285" s="277"/>
      <c r="O285" s="278"/>
    </row>
    <row r="286" spans="1:15" ht="13.95" customHeight="1" x14ac:dyDescent="0.25">
      <c r="A286" s="169"/>
      <c r="B286" s="273"/>
      <c r="C286" s="378"/>
      <c r="D286" s="588" t="s">
        <v>1062</v>
      </c>
      <c r="E286" s="952" t="e">
        <f ca="1">VLOOKUP($D286,Data!$C$2:$H$370,6,FALSE)</f>
        <v>#VALUE!</v>
      </c>
      <c r="F286" s="378"/>
      <c r="G286" s="588" t="s">
        <v>1062</v>
      </c>
      <c r="H286" s="949" t="e">
        <f t="shared" ca="1" si="19"/>
        <v>#VALUE!</v>
      </c>
      <c r="I286" s="740" t="str">
        <f t="shared" ca="1" si="15"/>
        <v/>
      </c>
      <c r="J286" s="740" t="str">
        <f t="shared" ca="1" si="16"/>
        <v/>
      </c>
      <c r="K286" s="740" t="str">
        <f t="shared" ca="1" si="17"/>
        <v/>
      </c>
      <c r="L286" s="740" t="str">
        <f t="shared" ca="1" si="18"/>
        <v/>
      </c>
      <c r="M286" s="264"/>
      <c r="N286" s="277"/>
      <c r="O286" s="278"/>
    </row>
    <row r="287" spans="1:15" ht="13.95" customHeight="1" x14ac:dyDescent="0.25">
      <c r="A287" s="169"/>
      <c r="B287" s="273"/>
      <c r="C287" s="378"/>
      <c r="D287" s="588" t="s">
        <v>1063</v>
      </c>
      <c r="E287" s="952" t="e">
        <f ca="1">VLOOKUP($D287,Data!$C$2:$H$370,6,FALSE)</f>
        <v>#VALUE!</v>
      </c>
      <c r="F287" s="378"/>
      <c r="G287" s="588" t="s">
        <v>1063</v>
      </c>
      <c r="H287" s="949" t="e">
        <f t="shared" ca="1" si="19"/>
        <v>#VALUE!</v>
      </c>
      <c r="I287" s="740" t="str">
        <f t="shared" ca="1" si="15"/>
        <v/>
      </c>
      <c r="J287" s="740" t="str">
        <f t="shared" ca="1" si="16"/>
        <v/>
      </c>
      <c r="K287" s="740" t="str">
        <f t="shared" ca="1" si="17"/>
        <v/>
      </c>
      <c r="L287" s="740" t="str">
        <f t="shared" ca="1" si="18"/>
        <v/>
      </c>
      <c r="M287" s="264"/>
      <c r="N287" s="277"/>
      <c r="O287" s="278"/>
    </row>
    <row r="288" spans="1:15" ht="13.95" customHeight="1" x14ac:dyDescent="0.25">
      <c r="A288" s="169"/>
      <c r="B288" s="273"/>
      <c r="C288" s="378"/>
      <c r="D288" s="588" t="s">
        <v>1064</v>
      </c>
      <c r="E288" s="952" t="e">
        <f ca="1">VLOOKUP($D288,Data!$C$2:$H$370,6,FALSE)</f>
        <v>#VALUE!</v>
      </c>
      <c r="F288" s="378"/>
      <c r="G288" s="588" t="s">
        <v>1064</v>
      </c>
      <c r="H288" s="949" t="e">
        <f t="shared" ca="1" si="19"/>
        <v>#VALUE!</v>
      </c>
      <c r="I288" s="740" t="str">
        <f t="shared" ca="1" si="15"/>
        <v/>
      </c>
      <c r="J288" s="740" t="str">
        <f t="shared" ca="1" si="16"/>
        <v/>
      </c>
      <c r="K288" s="740" t="str">
        <f t="shared" ca="1" si="17"/>
        <v/>
      </c>
      <c r="L288" s="740" t="str">
        <f t="shared" ca="1" si="18"/>
        <v/>
      </c>
      <c r="M288" s="264"/>
      <c r="N288" s="277"/>
      <c r="O288" s="278"/>
    </row>
    <row r="289" spans="1:15" ht="13.95" customHeight="1" x14ac:dyDescent="0.25">
      <c r="A289" s="169"/>
      <c r="B289" s="273"/>
      <c r="C289" s="378"/>
      <c r="D289" s="588" t="s">
        <v>1065</v>
      </c>
      <c r="E289" s="952" t="e">
        <f ca="1">VLOOKUP($D289,Data!$C$2:$H$370,6,FALSE)</f>
        <v>#VALUE!</v>
      </c>
      <c r="F289" s="378"/>
      <c r="G289" s="588" t="s">
        <v>1065</v>
      </c>
      <c r="H289" s="949" t="e">
        <f t="shared" ca="1" si="19"/>
        <v>#VALUE!</v>
      </c>
      <c r="I289" s="740" t="str">
        <f t="shared" ca="1" si="15"/>
        <v/>
      </c>
      <c r="J289" s="740" t="str">
        <f t="shared" ca="1" si="16"/>
        <v/>
      </c>
      <c r="K289" s="740" t="str">
        <f t="shared" ca="1" si="17"/>
        <v/>
      </c>
      <c r="L289" s="740" t="str">
        <f t="shared" ca="1" si="18"/>
        <v/>
      </c>
      <c r="M289" s="264"/>
      <c r="N289" s="277"/>
      <c r="O289" s="278"/>
    </row>
    <row r="290" spans="1:15" ht="13.95" customHeight="1" x14ac:dyDescent="0.25">
      <c r="A290" s="169"/>
      <c r="B290" s="273"/>
      <c r="C290" s="378"/>
      <c r="D290" s="588" t="s">
        <v>1066</v>
      </c>
      <c r="E290" s="952" t="e">
        <f ca="1">VLOOKUP($D290,Data!$C$2:$H$370,6,FALSE)</f>
        <v>#VALUE!</v>
      </c>
      <c r="F290" s="378"/>
      <c r="G290" s="588" t="s">
        <v>1066</v>
      </c>
      <c r="H290" s="949" t="e">
        <f t="shared" ca="1" si="19"/>
        <v>#VALUE!</v>
      </c>
      <c r="I290" s="740" t="str">
        <f t="shared" ca="1" si="15"/>
        <v/>
      </c>
      <c r="J290" s="740" t="str">
        <f t="shared" ca="1" si="16"/>
        <v/>
      </c>
      <c r="K290" s="740" t="str">
        <f t="shared" ca="1" si="17"/>
        <v/>
      </c>
      <c r="L290" s="740" t="str">
        <f t="shared" ca="1" si="18"/>
        <v/>
      </c>
      <c r="M290" s="264"/>
      <c r="N290" s="277"/>
      <c r="O290" s="278"/>
    </row>
    <row r="291" spans="1:15" ht="13.95" customHeight="1" x14ac:dyDescent="0.25">
      <c r="A291" s="169"/>
      <c r="B291" s="273"/>
      <c r="C291" s="378"/>
      <c r="D291" s="588" t="s">
        <v>1067</v>
      </c>
      <c r="E291" s="952" t="e">
        <f ca="1">VLOOKUP($D291,Data!$C$2:$H$370,6,FALSE)</f>
        <v>#VALUE!</v>
      </c>
      <c r="F291" s="378"/>
      <c r="G291" s="588" t="s">
        <v>1067</v>
      </c>
      <c r="H291" s="949" t="e">
        <f t="shared" ca="1" si="19"/>
        <v>#VALUE!</v>
      </c>
      <c r="I291" s="740" t="str">
        <f t="shared" ca="1" si="15"/>
        <v/>
      </c>
      <c r="J291" s="740" t="str">
        <f t="shared" ca="1" si="16"/>
        <v/>
      </c>
      <c r="K291" s="740" t="str">
        <f t="shared" ca="1" si="17"/>
        <v/>
      </c>
      <c r="L291" s="740" t="str">
        <f t="shared" ca="1" si="18"/>
        <v/>
      </c>
      <c r="M291" s="264"/>
      <c r="N291" s="277"/>
      <c r="O291" s="278"/>
    </row>
    <row r="292" spans="1:15" ht="13.95" customHeight="1" x14ac:dyDescent="0.25">
      <c r="A292" s="169"/>
      <c r="B292" s="273"/>
      <c r="C292" s="378"/>
      <c r="D292" s="588" t="s">
        <v>1068</v>
      </c>
      <c r="E292" s="952" t="e">
        <f ca="1">VLOOKUP($D292,Data!$C$2:$H$370,6,FALSE)</f>
        <v>#VALUE!</v>
      </c>
      <c r="F292" s="378"/>
      <c r="G292" s="588" t="s">
        <v>1068</v>
      </c>
      <c r="H292" s="949" t="e">
        <f t="shared" ca="1" si="19"/>
        <v>#VALUE!</v>
      </c>
      <c r="I292" s="740" t="str">
        <f t="shared" ca="1" si="15"/>
        <v/>
      </c>
      <c r="J292" s="740" t="str">
        <f t="shared" ca="1" si="16"/>
        <v/>
      </c>
      <c r="K292" s="740" t="str">
        <f t="shared" ca="1" si="17"/>
        <v/>
      </c>
      <c r="L292" s="740" t="str">
        <f t="shared" ca="1" si="18"/>
        <v/>
      </c>
      <c r="M292" s="264"/>
      <c r="N292" s="277"/>
      <c r="O292" s="278"/>
    </row>
    <row r="293" spans="1:15" ht="13.95" customHeight="1" x14ac:dyDescent="0.25">
      <c r="A293" s="169"/>
      <c r="B293" s="273"/>
      <c r="C293" s="378"/>
      <c r="D293" s="588" t="s">
        <v>1069</v>
      </c>
      <c r="E293" s="952" t="e">
        <f ca="1">VLOOKUP($D293,Data!$C$2:$H$370,6,FALSE)</f>
        <v>#VALUE!</v>
      </c>
      <c r="F293" s="378"/>
      <c r="G293" s="588" t="s">
        <v>1069</v>
      </c>
      <c r="H293" s="949" t="e">
        <f t="shared" ca="1" si="19"/>
        <v>#VALUE!</v>
      </c>
      <c r="I293" s="740" t="str">
        <f t="shared" ca="1" si="15"/>
        <v/>
      </c>
      <c r="J293" s="740" t="str">
        <f t="shared" ca="1" si="16"/>
        <v/>
      </c>
      <c r="K293" s="740" t="str">
        <f t="shared" ca="1" si="17"/>
        <v/>
      </c>
      <c r="L293" s="740" t="str">
        <f t="shared" ca="1" si="18"/>
        <v/>
      </c>
      <c r="M293" s="264"/>
      <c r="N293" s="277"/>
      <c r="O293" s="278"/>
    </row>
    <row r="294" spans="1:15" ht="13.95" customHeight="1" x14ac:dyDescent="0.25">
      <c r="A294" s="169"/>
      <c r="B294" s="273"/>
      <c r="C294" s="378"/>
      <c r="D294" s="588" t="s">
        <v>1070</v>
      </c>
      <c r="E294" s="952" t="e">
        <f ca="1">VLOOKUP($D294,Data!$C$2:$H$370,6,FALSE)</f>
        <v>#VALUE!</v>
      </c>
      <c r="F294" s="378"/>
      <c r="G294" s="588" t="s">
        <v>1070</v>
      </c>
      <c r="H294" s="949" t="e">
        <f t="shared" ca="1" si="19"/>
        <v>#VALUE!</v>
      </c>
      <c r="I294" s="740" t="str">
        <f t="shared" ca="1" si="15"/>
        <v/>
      </c>
      <c r="J294" s="740" t="str">
        <f t="shared" ca="1" si="16"/>
        <v/>
      </c>
      <c r="K294" s="740" t="str">
        <f t="shared" ca="1" si="17"/>
        <v/>
      </c>
      <c r="L294" s="740" t="str">
        <f t="shared" ca="1" si="18"/>
        <v/>
      </c>
      <c r="M294" s="264"/>
      <c r="N294" s="277"/>
      <c r="O294" s="278"/>
    </row>
    <row r="295" spans="1:15" ht="13.95" customHeight="1" x14ac:dyDescent="0.25">
      <c r="A295" s="169"/>
      <c r="B295" s="273"/>
      <c r="C295" s="378"/>
      <c r="D295" s="588" t="s">
        <v>1071</v>
      </c>
      <c r="E295" s="952" t="e">
        <f ca="1">VLOOKUP($D295,Data!$C$2:$H$370,6,FALSE)</f>
        <v>#VALUE!</v>
      </c>
      <c r="F295" s="378"/>
      <c r="G295" s="588" t="s">
        <v>1071</v>
      </c>
      <c r="H295" s="949" t="e">
        <f t="shared" ca="1" si="19"/>
        <v>#VALUE!</v>
      </c>
      <c r="I295" s="740" t="str">
        <f t="shared" ca="1" si="15"/>
        <v/>
      </c>
      <c r="J295" s="740" t="str">
        <f t="shared" ca="1" si="16"/>
        <v/>
      </c>
      <c r="K295" s="740" t="str">
        <f t="shared" ca="1" si="17"/>
        <v/>
      </c>
      <c r="L295" s="740" t="str">
        <f t="shared" ca="1" si="18"/>
        <v/>
      </c>
      <c r="M295" s="264"/>
      <c r="N295" s="277"/>
      <c r="O295" s="278"/>
    </row>
    <row r="296" spans="1:15" ht="13.95" customHeight="1" x14ac:dyDescent="0.25">
      <c r="A296" s="169"/>
      <c r="B296" s="273"/>
      <c r="C296" s="378"/>
      <c r="D296" s="588" t="s">
        <v>1072</v>
      </c>
      <c r="E296" s="952" t="e">
        <f ca="1">VLOOKUP($D296,Data!$C$2:$H$370,6,FALSE)</f>
        <v>#VALUE!</v>
      </c>
      <c r="F296" s="378"/>
      <c r="G296" s="588" t="s">
        <v>1072</v>
      </c>
      <c r="H296" s="949" t="e">
        <f t="shared" ca="1" si="19"/>
        <v>#VALUE!</v>
      </c>
      <c r="I296" s="740" t="str">
        <f t="shared" ca="1" si="15"/>
        <v/>
      </c>
      <c r="J296" s="740" t="str">
        <f t="shared" ca="1" si="16"/>
        <v/>
      </c>
      <c r="K296" s="740" t="str">
        <f t="shared" ca="1" si="17"/>
        <v/>
      </c>
      <c r="L296" s="740" t="str">
        <f t="shared" ca="1" si="18"/>
        <v/>
      </c>
      <c r="M296" s="264"/>
      <c r="N296" s="277"/>
      <c r="O296" s="278"/>
    </row>
    <row r="297" spans="1:15" ht="13.95" customHeight="1" x14ac:dyDescent="0.25">
      <c r="A297" s="169"/>
      <c r="B297" s="273"/>
      <c r="C297" s="378"/>
      <c r="D297" s="588" t="s">
        <v>1073</v>
      </c>
      <c r="E297" s="952" t="e">
        <f ca="1">VLOOKUP($D297,Data!$C$2:$H$370,6,FALSE)</f>
        <v>#VALUE!</v>
      </c>
      <c r="F297" s="378"/>
      <c r="G297" s="588" t="s">
        <v>1073</v>
      </c>
      <c r="H297" s="949" t="e">
        <f t="shared" ca="1" si="19"/>
        <v>#VALUE!</v>
      </c>
      <c r="I297" s="740" t="str">
        <f t="shared" ca="1" si="15"/>
        <v/>
      </c>
      <c r="J297" s="740" t="str">
        <f t="shared" ca="1" si="16"/>
        <v/>
      </c>
      <c r="K297" s="740" t="str">
        <f t="shared" ca="1" si="17"/>
        <v/>
      </c>
      <c r="L297" s="740" t="str">
        <f t="shared" ca="1" si="18"/>
        <v/>
      </c>
      <c r="M297" s="264"/>
      <c r="N297" s="277"/>
      <c r="O297" s="278"/>
    </row>
    <row r="298" spans="1:15" ht="13.95" customHeight="1" x14ac:dyDescent="0.25">
      <c r="A298" s="169"/>
      <c r="B298" s="273"/>
      <c r="C298" s="378"/>
      <c r="D298" s="588" t="s">
        <v>1074</v>
      </c>
      <c r="E298" s="952" t="e">
        <f ca="1">VLOOKUP($D298,Data!$C$2:$H$370,6,FALSE)</f>
        <v>#VALUE!</v>
      </c>
      <c r="F298" s="378"/>
      <c r="G298" s="588" t="s">
        <v>1074</v>
      </c>
      <c r="H298" s="949" t="e">
        <f t="shared" ca="1" si="19"/>
        <v>#VALUE!</v>
      </c>
      <c r="I298" s="740" t="str">
        <f t="shared" ca="1" si="15"/>
        <v/>
      </c>
      <c r="J298" s="740" t="str">
        <f t="shared" ca="1" si="16"/>
        <v/>
      </c>
      <c r="K298" s="740" t="str">
        <f t="shared" ca="1" si="17"/>
        <v/>
      </c>
      <c r="L298" s="740" t="str">
        <f t="shared" ca="1" si="18"/>
        <v/>
      </c>
      <c r="M298" s="264"/>
      <c r="N298" s="277"/>
      <c r="O298" s="278"/>
    </row>
    <row r="299" spans="1:15" ht="13.95" customHeight="1" x14ac:dyDescent="0.25">
      <c r="A299" s="169"/>
      <c r="B299" s="273"/>
      <c r="C299" s="378"/>
      <c r="D299" s="588" t="s">
        <v>1075</v>
      </c>
      <c r="E299" s="952" t="e">
        <f ca="1">VLOOKUP($D299,Data!$C$2:$H$370,6,FALSE)</f>
        <v>#VALUE!</v>
      </c>
      <c r="F299" s="378"/>
      <c r="G299" s="588" t="s">
        <v>1075</v>
      </c>
      <c r="H299" s="949" t="e">
        <f t="shared" ca="1" si="19"/>
        <v>#VALUE!</v>
      </c>
      <c r="I299" s="740" t="str">
        <f t="shared" ca="1" si="15"/>
        <v/>
      </c>
      <c r="J299" s="740" t="str">
        <f t="shared" ca="1" si="16"/>
        <v/>
      </c>
      <c r="K299" s="740" t="str">
        <f t="shared" ca="1" si="17"/>
        <v/>
      </c>
      <c r="L299" s="740" t="str">
        <f t="shared" ca="1" si="18"/>
        <v/>
      </c>
      <c r="M299" s="264"/>
      <c r="N299" s="277"/>
      <c r="O299" s="278"/>
    </row>
    <row r="300" spans="1:15" ht="13.95" customHeight="1" x14ac:dyDescent="0.25">
      <c r="A300" s="169"/>
      <c r="B300" s="273"/>
      <c r="C300" s="378"/>
      <c r="D300" s="588" t="s">
        <v>1076</v>
      </c>
      <c r="E300" s="952" t="e">
        <f ca="1">VLOOKUP($D300,Data!$C$2:$H$370,6,FALSE)</f>
        <v>#VALUE!</v>
      </c>
      <c r="F300" s="378"/>
      <c r="G300" s="588" t="s">
        <v>1076</v>
      </c>
      <c r="H300" s="949" t="e">
        <f t="shared" ca="1" si="19"/>
        <v>#VALUE!</v>
      </c>
      <c r="I300" s="740" t="str">
        <f t="shared" ca="1" si="15"/>
        <v/>
      </c>
      <c r="J300" s="740" t="str">
        <f t="shared" ca="1" si="16"/>
        <v/>
      </c>
      <c r="K300" s="740" t="str">
        <f t="shared" ca="1" si="17"/>
        <v/>
      </c>
      <c r="L300" s="740" t="str">
        <f t="shared" ca="1" si="18"/>
        <v/>
      </c>
      <c r="M300" s="264"/>
      <c r="N300" s="277"/>
      <c r="O300" s="278"/>
    </row>
    <row r="301" spans="1:15" ht="13.95" customHeight="1" x14ac:dyDescent="0.25">
      <c r="A301" s="169"/>
      <c r="B301" s="273"/>
      <c r="C301" s="378"/>
      <c r="D301" s="588" t="s">
        <v>41</v>
      </c>
      <c r="E301" s="952" t="e">
        <f ca="1">VLOOKUP($D301,Data!$C$2:$H$370,6,FALSE)</f>
        <v>#VALUE!</v>
      </c>
      <c r="F301" s="378"/>
      <c r="G301" s="588" t="s">
        <v>41</v>
      </c>
      <c r="H301" s="949" t="e">
        <f t="shared" ca="1" si="19"/>
        <v>#VALUE!</v>
      </c>
      <c r="I301" s="740" t="str">
        <f t="shared" ca="1" si="15"/>
        <v/>
      </c>
      <c r="J301" s="740" t="str">
        <f t="shared" ca="1" si="16"/>
        <v/>
      </c>
      <c r="K301" s="740" t="str">
        <f t="shared" ca="1" si="17"/>
        <v/>
      </c>
      <c r="L301" s="740" t="str">
        <f t="shared" ca="1" si="18"/>
        <v/>
      </c>
      <c r="M301" s="264"/>
      <c r="N301" s="277"/>
      <c r="O301" s="278"/>
    </row>
    <row r="302" spans="1:15" ht="13.95" customHeight="1" x14ac:dyDescent="0.25">
      <c r="A302" s="169"/>
      <c r="B302" s="273"/>
      <c r="C302" s="378"/>
      <c r="D302" s="588" t="s">
        <v>42</v>
      </c>
      <c r="E302" s="952" t="e">
        <f ca="1">VLOOKUP($D302,Data!$C$2:$H$370,6,FALSE)</f>
        <v>#VALUE!</v>
      </c>
      <c r="F302" s="378"/>
      <c r="G302" s="588" t="s">
        <v>42</v>
      </c>
      <c r="H302" s="949" t="e">
        <f t="shared" ca="1" si="19"/>
        <v>#VALUE!</v>
      </c>
      <c r="I302" s="740" t="str">
        <f t="shared" ca="1" si="15"/>
        <v/>
      </c>
      <c r="J302" s="740" t="str">
        <f t="shared" ca="1" si="16"/>
        <v/>
      </c>
      <c r="K302" s="740" t="str">
        <f t="shared" ca="1" si="17"/>
        <v/>
      </c>
      <c r="L302" s="740" t="str">
        <f t="shared" ca="1" si="18"/>
        <v/>
      </c>
      <c r="M302" s="264"/>
      <c r="N302" s="277"/>
      <c r="O302" s="278"/>
    </row>
    <row r="303" spans="1:15" ht="13.95" customHeight="1" x14ac:dyDescent="0.25">
      <c r="A303" s="169"/>
      <c r="B303" s="273"/>
      <c r="C303" s="378"/>
      <c r="D303" s="588" t="s">
        <v>43</v>
      </c>
      <c r="E303" s="952" t="e">
        <f ca="1">VLOOKUP($D303,Data!$C$2:$H$370,6,FALSE)</f>
        <v>#VALUE!</v>
      </c>
      <c r="F303" s="378"/>
      <c r="G303" s="588" t="s">
        <v>43</v>
      </c>
      <c r="H303" s="949" t="e">
        <f t="shared" ca="1" si="19"/>
        <v>#VALUE!</v>
      </c>
      <c r="I303" s="740" t="str">
        <f t="shared" ca="1" si="15"/>
        <v/>
      </c>
      <c r="J303" s="740" t="str">
        <f t="shared" ca="1" si="16"/>
        <v/>
      </c>
      <c r="K303" s="740" t="str">
        <f t="shared" ca="1" si="17"/>
        <v/>
      </c>
      <c r="L303" s="740" t="str">
        <f t="shared" ca="1" si="18"/>
        <v/>
      </c>
      <c r="M303" s="264"/>
      <c r="N303" s="277"/>
      <c r="O303" s="278"/>
    </row>
    <row r="304" spans="1:15" ht="13.95" customHeight="1" x14ac:dyDescent="0.25">
      <c r="A304" s="169"/>
      <c r="B304" s="273"/>
      <c r="C304" s="378"/>
      <c r="D304" s="588" t="s">
        <v>45</v>
      </c>
      <c r="E304" s="952" t="e">
        <f ca="1">VLOOKUP($D304,Data!$C$2:$H$370,6,FALSE)</f>
        <v>#VALUE!</v>
      </c>
      <c r="F304" s="378"/>
      <c r="G304" s="588" t="s">
        <v>45</v>
      </c>
      <c r="H304" s="949" t="e">
        <f t="shared" ca="1" si="19"/>
        <v>#VALUE!</v>
      </c>
      <c r="I304" s="740" t="str">
        <f t="shared" ca="1" si="15"/>
        <v/>
      </c>
      <c r="J304" s="740" t="str">
        <f t="shared" ca="1" si="16"/>
        <v/>
      </c>
      <c r="K304" s="740" t="str">
        <f t="shared" ca="1" si="17"/>
        <v/>
      </c>
      <c r="L304" s="740" t="str">
        <f t="shared" ca="1" si="18"/>
        <v/>
      </c>
      <c r="M304" s="264"/>
      <c r="N304" s="277"/>
      <c r="O304" s="278"/>
    </row>
    <row r="305" spans="1:15" ht="13.95" customHeight="1" x14ac:dyDescent="0.25">
      <c r="A305" s="169"/>
      <c r="B305" s="273"/>
      <c r="C305" s="378"/>
      <c r="D305" s="588" t="s">
        <v>47</v>
      </c>
      <c r="E305" s="952" t="e">
        <f ca="1">VLOOKUP($D305,Data!$C$2:$H$370,6,FALSE)</f>
        <v>#VALUE!</v>
      </c>
      <c r="F305" s="378"/>
      <c r="G305" s="588" t="s">
        <v>47</v>
      </c>
      <c r="H305" s="949" t="e">
        <f t="shared" ca="1" si="19"/>
        <v>#VALUE!</v>
      </c>
      <c r="I305" s="740" t="str">
        <f t="shared" ca="1" si="15"/>
        <v/>
      </c>
      <c r="J305" s="740" t="str">
        <f t="shared" ca="1" si="16"/>
        <v/>
      </c>
      <c r="K305" s="740" t="str">
        <f t="shared" ca="1" si="17"/>
        <v/>
      </c>
      <c r="L305" s="740" t="str">
        <f t="shared" ca="1" si="18"/>
        <v/>
      </c>
      <c r="M305" s="264"/>
      <c r="N305" s="277"/>
      <c r="O305" s="278"/>
    </row>
    <row r="306" spans="1:15" ht="13.95" customHeight="1" x14ac:dyDescent="0.25">
      <c r="A306" s="169"/>
      <c r="B306" s="273"/>
      <c r="C306" s="378"/>
      <c r="D306" s="588" t="s">
        <v>49</v>
      </c>
      <c r="E306" s="952" t="e">
        <f ca="1">VLOOKUP($D306,Data!$C$2:$H$370,6,FALSE)</f>
        <v>#VALUE!</v>
      </c>
      <c r="F306" s="378"/>
      <c r="G306" s="588" t="s">
        <v>49</v>
      </c>
      <c r="H306" s="949" t="e">
        <f t="shared" ca="1" si="19"/>
        <v>#VALUE!</v>
      </c>
      <c r="I306" s="740" t="str">
        <f t="shared" ca="1" si="15"/>
        <v/>
      </c>
      <c r="J306" s="740" t="str">
        <f t="shared" ca="1" si="16"/>
        <v/>
      </c>
      <c r="K306" s="740" t="str">
        <f t="shared" ca="1" si="17"/>
        <v/>
      </c>
      <c r="L306" s="740" t="str">
        <f t="shared" ca="1" si="18"/>
        <v/>
      </c>
      <c r="M306" s="264"/>
      <c r="N306" s="277"/>
      <c r="O306" s="278"/>
    </row>
    <row r="307" spans="1:15" ht="13.95" customHeight="1" x14ac:dyDescent="0.25">
      <c r="A307" s="169"/>
      <c r="B307" s="273"/>
      <c r="C307" s="378"/>
      <c r="D307" s="588" t="s">
        <v>60</v>
      </c>
      <c r="E307" s="952" t="e">
        <f ca="1">VLOOKUP($D307,Data!$C$2:$H$370,6,FALSE)</f>
        <v>#VALUE!</v>
      </c>
      <c r="F307" s="378"/>
      <c r="G307" s="588" t="s">
        <v>60</v>
      </c>
      <c r="H307" s="949" t="e">
        <f t="shared" ca="1" si="19"/>
        <v>#VALUE!</v>
      </c>
      <c r="I307" s="740" t="str">
        <f t="shared" ca="1" si="15"/>
        <v/>
      </c>
      <c r="J307" s="740" t="str">
        <f t="shared" ca="1" si="16"/>
        <v/>
      </c>
      <c r="K307" s="740" t="str">
        <f t="shared" ca="1" si="17"/>
        <v/>
      </c>
      <c r="L307" s="740" t="str">
        <f t="shared" ca="1" si="18"/>
        <v/>
      </c>
      <c r="M307" s="264"/>
      <c r="N307" s="277"/>
      <c r="O307" s="278"/>
    </row>
    <row r="308" spans="1:15" ht="13.95" customHeight="1" x14ac:dyDescent="0.25">
      <c r="A308" s="169"/>
      <c r="B308" s="273"/>
      <c r="C308" s="378"/>
      <c r="D308" s="588" t="s">
        <v>62</v>
      </c>
      <c r="E308" s="952" t="e">
        <f ca="1">VLOOKUP($D308,Data!$C$2:$H$370,6,FALSE)</f>
        <v>#VALUE!</v>
      </c>
      <c r="F308" s="378"/>
      <c r="G308" s="588" t="s">
        <v>62</v>
      </c>
      <c r="H308" s="949" t="e">
        <f t="shared" ca="1" si="19"/>
        <v>#VALUE!</v>
      </c>
      <c r="I308" s="740" t="str">
        <f t="shared" ca="1" si="15"/>
        <v/>
      </c>
      <c r="J308" s="740" t="str">
        <f t="shared" ca="1" si="16"/>
        <v/>
      </c>
      <c r="K308" s="740" t="str">
        <f t="shared" ca="1" si="17"/>
        <v/>
      </c>
      <c r="L308" s="740" t="str">
        <f t="shared" ca="1" si="18"/>
        <v/>
      </c>
      <c r="M308" s="264"/>
      <c r="N308" s="277"/>
      <c r="O308" s="278"/>
    </row>
    <row r="309" spans="1:15" ht="13.95" customHeight="1" x14ac:dyDescent="0.25">
      <c r="A309" s="169"/>
      <c r="B309" s="273"/>
      <c r="C309" s="378"/>
      <c r="D309" s="588" t="s">
        <v>64</v>
      </c>
      <c r="E309" s="952" t="e">
        <f ca="1">VLOOKUP($D309,Data!$C$2:$H$370,6,FALSE)</f>
        <v>#VALUE!</v>
      </c>
      <c r="F309" s="378"/>
      <c r="G309" s="588" t="s">
        <v>64</v>
      </c>
      <c r="H309" s="949" t="e">
        <f t="shared" ca="1" si="19"/>
        <v>#VALUE!</v>
      </c>
      <c r="I309" s="740" t="str">
        <f t="shared" ca="1" si="15"/>
        <v/>
      </c>
      <c r="J309" s="740" t="str">
        <f t="shared" ca="1" si="16"/>
        <v/>
      </c>
      <c r="K309" s="740" t="str">
        <f t="shared" ca="1" si="17"/>
        <v/>
      </c>
      <c r="L309" s="740" t="str">
        <f t="shared" ca="1" si="18"/>
        <v/>
      </c>
      <c r="M309" s="264"/>
      <c r="N309" s="277"/>
      <c r="O309" s="278"/>
    </row>
    <row r="310" spans="1:15" ht="13.95" customHeight="1" x14ac:dyDescent="0.25">
      <c r="A310" s="169"/>
      <c r="B310" s="273"/>
      <c r="C310" s="378"/>
      <c r="D310" s="588" t="s">
        <v>67</v>
      </c>
      <c r="E310" s="952" t="e">
        <f ca="1">VLOOKUP($D310,Data!$C$2:$H$370,6,FALSE)</f>
        <v>#VALUE!</v>
      </c>
      <c r="F310" s="378"/>
      <c r="G310" s="588" t="s">
        <v>67</v>
      </c>
      <c r="H310" s="949" t="e">
        <f t="shared" ca="1" si="19"/>
        <v>#VALUE!</v>
      </c>
      <c r="I310" s="740" t="str">
        <f t="shared" ca="1" si="15"/>
        <v/>
      </c>
      <c r="J310" s="740" t="str">
        <f t="shared" ca="1" si="16"/>
        <v/>
      </c>
      <c r="K310" s="740" t="str">
        <f t="shared" ca="1" si="17"/>
        <v/>
      </c>
      <c r="L310" s="740" t="str">
        <f t="shared" ca="1" si="18"/>
        <v/>
      </c>
      <c r="M310" s="264"/>
      <c r="N310" s="277"/>
      <c r="O310" s="278"/>
    </row>
    <row r="311" spans="1:15" ht="13.95" customHeight="1" x14ac:dyDescent="0.25">
      <c r="A311" s="169"/>
      <c r="B311" s="273"/>
      <c r="C311" s="378"/>
      <c r="D311" s="588" t="s">
        <v>70</v>
      </c>
      <c r="E311" s="952" t="e">
        <f ca="1">VLOOKUP($D311,Data!$C$2:$H$370,6,FALSE)</f>
        <v>#VALUE!</v>
      </c>
      <c r="F311" s="378"/>
      <c r="G311" s="588" t="s">
        <v>70</v>
      </c>
      <c r="H311" s="949" t="e">
        <f t="shared" ca="1" si="19"/>
        <v>#VALUE!</v>
      </c>
      <c r="I311" s="740" t="str">
        <f t="shared" ca="1" si="15"/>
        <v/>
      </c>
      <c r="J311" s="740" t="str">
        <f t="shared" ca="1" si="16"/>
        <v/>
      </c>
      <c r="K311" s="740" t="str">
        <f t="shared" ca="1" si="17"/>
        <v/>
      </c>
      <c r="L311" s="740" t="str">
        <f t="shared" ca="1" si="18"/>
        <v/>
      </c>
      <c r="M311" s="264"/>
      <c r="N311" s="277"/>
      <c r="O311" s="278"/>
    </row>
    <row r="312" spans="1:15" ht="13.95" customHeight="1" x14ac:dyDescent="0.25">
      <c r="A312" s="169"/>
      <c r="B312" s="273"/>
      <c r="C312" s="378"/>
      <c r="D312" s="588" t="s">
        <v>1031</v>
      </c>
      <c r="E312" s="952" t="e">
        <f ca="1">VLOOKUP($D312,Data!$C$2:$H$370,6,FALSE)</f>
        <v>#VALUE!</v>
      </c>
      <c r="F312" s="378"/>
      <c r="G312" s="588" t="s">
        <v>1031</v>
      </c>
      <c r="H312" s="949" t="e">
        <f t="shared" ca="1" si="19"/>
        <v>#VALUE!</v>
      </c>
      <c r="I312" s="740" t="str">
        <f t="shared" ca="1" si="15"/>
        <v/>
      </c>
      <c r="J312" s="740" t="str">
        <f t="shared" ca="1" si="16"/>
        <v/>
      </c>
      <c r="K312" s="740" t="str">
        <f t="shared" ca="1" si="17"/>
        <v/>
      </c>
      <c r="L312" s="740" t="str">
        <f t="shared" ca="1" si="18"/>
        <v/>
      </c>
      <c r="M312" s="264"/>
      <c r="N312" s="277"/>
      <c r="O312" s="278"/>
    </row>
    <row r="313" spans="1:15" ht="13.95" customHeight="1" x14ac:dyDescent="0.25">
      <c r="A313" s="169"/>
      <c r="B313" s="273"/>
      <c r="C313" s="378"/>
      <c r="D313" s="588" t="s">
        <v>1032</v>
      </c>
      <c r="E313" s="952" t="e">
        <f ca="1">VLOOKUP($D313,Data!$C$2:$H$370,6,FALSE)</f>
        <v>#VALUE!</v>
      </c>
      <c r="F313" s="378"/>
      <c r="G313" s="588" t="s">
        <v>1032</v>
      </c>
      <c r="H313" s="949" t="e">
        <f t="shared" ca="1" si="19"/>
        <v>#VALUE!</v>
      </c>
      <c r="I313" s="740" t="str">
        <f t="shared" ca="1" si="15"/>
        <v/>
      </c>
      <c r="J313" s="740" t="str">
        <f t="shared" ca="1" si="16"/>
        <v/>
      </c>
      <c r="K313" s="740" t="str">
        <f t="shared" ca="1" si="17"/>
        <v/>
      </c>
      <c r="L313" s="740" t="str">
        <f t="shared" ca="1" si="18"/>
        <v/>
      </c>
      <c r="M313" s="264"/>
      <c r="N313" s="277"/>
      <c r="O313" s="278"/>
    </row>
    <row r="314" spans="1:15" ht="13.95" customHeight="1" x14ac:dyDescent="0.25">
      <c r="A314" s="169"/>
      <c r="B314" s="273"/>
      <c r="C314" s="378"/>
      <c r="D314" s="588" t="s">
        <v>1033</v>
      </c>
      <c r="E314" s="952" t="e">
        <f ca="1">VLOOKUP($D314,Data!$C$2:$H$370,6,FALSE)</f>
        <v>#VALUE!</v>
      </c>
      <c r="F314" s="378"/>
      <c r="G314" s="588" t="s">
        <v>1033</v>
      </c>
      <c r="H314" s="949" t="e">
        <f t="shared" ca="1" si="19"/>
        <v>#VALUE!</v>
      </c>
      <c r="I314" s="740" t="str">
        <f t="shared" ca="1" si="15"/>
        <v/>
      </c>
      <c r="J314" s="740" t="str">
        <f t="shared" ca="1" si="16"/>
        <v/>
      </c>
      <c r="K314" s="740" t="str">
        <f t="shared" ca="1" si="17"/>
        <v/>
      </c>
      <c r="L314" s="740" t="str">
        <f t="shared" ca="1" si="18"/>
        <v/>
      </c>
      <c r="M314" s="264"/>
      <c r="N314" s="277"/>
      <c r="O314" s="278"/>
    </row>
    <row r="315" spans="1:15" ht="13.95" customHeight="1" x14ac:dyDescent="0.25">
      <c r="A315" s="169"/>
      <c r="B315" s="273"/>
      <c r="C315" s="378"/>
      <c r="D315" s="588" t="s">
        <v>1034</v>
      </c>
      <c r="E315" s="952" t="e">
        <f ca="1">VLOOKUP($D315,Data!$C$2:$H$370,6,FALSE)</f>
        <v>#VALUE!</v>
      </c>
      <c r="F315" s="378"/>
      <c r="G315" s="588" t="s">
        <v>1034</v>
      </c>
      <c r="H315" s="949" t="e">
        <f t="shared" ca="1" si="19"/>
        <v>#VALUE!</v>
      </c>
      <c r="I315" s="740" t="str">
        <f t="shared" ca="1" si="15"/>
        <v/>
      </c>
      <c r="J315" s="740" t="str">
        <f t="shared" ca="1" si="16"/>
        <v/>
      </c>
      <c r="K315" s="740" t="str">
        <f t="shared" ca="1" si="17"/>
        <v/>
      </c>
      <c r="L315" s="740" t="str">
        <f t="shared" ca="1" si="18"/>
        <v/>
      </c>
      <c r="M315" s="264"/>
      <c r="N315" s="277"/>
      <c r="O315" s="278"/>
    </row>
    <row r="316" spans="1:15" ht="13.95" customHeight="1" x14ac:dyDescent="0.25">
      <c r="A316" s="169"/>
      <c r="B316" s="273"/>
      <c r="C316" s="378"/>
      <c r="D316" s="588" t="s">
        <v>1035</v>
      </c>
      <c r="E316" s="952" t="e">
        <f ca="1">VLOOKUP($D316,Data!$C$2:$H$370,6,FALSE)</f>
        <v>#VALUE!</v>
      </c>
      <c r="F316" s="378"/>
      <c r="G316" s="588" t="s">
        <v>1035</v>
      </c>
      <c r="H316" s="949" t="e">
        <f t="shared" ca="1" si="19"/>
        <v>#VALUE!</v>
      </c>
      <c r="I316" s="740" t="str">
        <f t="shared" ca="1" si="15"/>
        <v/>
      </c>
      <c r="J316" s="740" t="str">
        <f t="shared" ca="1" si="16"/>
        <v/>
      </c>
      <c r="K316" s="740" t="str">
        <f t="shared" ca="1" si="17"/>
        <v/>
      </c>
      <c r="L316" s="740" t="str">
        <f t="shared" ca="1" si="18"/>
        <v/>
      </c>
      <c r="M316" s="264"/>
      <c r="N316" s="277"/>
      <c r="O316" s="278"/>
    </row>
    <row r="317" spans="1:15" ht="13.95" customHeight="1" x14ac:dyDescent="0.25">
      <c r="A317" s="169"/>
      <c r="B317" s="273"/>
      <c r="C317" s="378"/>
      <c r="D317" s="588" t="s">
        <v>1036</v>
      </c>
      <c r="E317" s="952" t="e">
        <f ca="1">VLOOKUP($D317,Data!$C$2:$H$370,6,FALSE)</f>
        <v>#VALUE!</v>
      </c>
      <c r="F317" s="378"/>
      <c r="G317" s="588" t="s">
        <v>1036</v>
      </c>
      <c r="H317" s="949" t="e">
        <f t="shared" ca="1" si="19"/>
        <v>#VALUE!</v>
      </c>
      <c r="I317" s="740" t="str">
        <f t="shared" ca="1" si="15"/>
        <v/>
      </c>
      <c r="J317" s="740" t="str">
        <f t="shared" ca="1" si="16"/>
        <v/>
      </c>
      <c r="K317" s="740" t="str">
        <f t="shared" ca="1" si="17"/>
        <v/>
      </c>
      <c r="L317" s="740" t="str">
        <f t="shared" ca="1" si="18"/>
        <v/>
      </c>
      <c r="M317" s="264"/>
      <c r="N317" s="277"/>
      <c r="O317" s="278"/>
    </row>
    <row r="318" spans="1:15" ht="13.95" customHeight="1" x14ac:dyDescent="0.25">
      <c r="A318" s="169"/>
      <c r="B318" s="273"/>
      <c r="C318" s="378"/>
      <c r="D318" s="588" t="s">
        <v>1037</v>
      </c>
      <c r="E318" s="952" t="e">
        <f ca="1">VLOOKUP($D318,Data!$C$2:$H$370,6,FALSE)</f>
        <v>#VALUE!</v>
      </c>
      <c r="F318" s="378"/>
      <c r="G318" s="588" t="s">
        <v>1037</v>
      </c>
      <c r="H318" s="949" t="e">
        <f t="shared" ca="1" si="19"/>
        <v>#VALUE!</v>
      </c>
      <c r="I318" s="740" t="str">
        <f t="shared" ca="1" si="15"/>
        <v/>
      </c>
      <c r="J318" s="740" t="str">
        <f t="shared" ca="1" si="16"/>
        <v/>
      </c>
      <c r="K318" s="740" t="str">
        <f t="shared" ca="1" si="17"/>
        <v/>
      </c>
      <c r="L318" s="740" t="str">
        <f t="shared" ca="1" si="18"/>
        <v/>
      </c>
      <c r="M318" s="264"/>
      <c r="N318" s="277"/>
      <c r="O318" s="278"/>
    </row>
    <row r="319" spans="1:15" ht="13.95" customHeight="1" x14ac:dyDescent="0.25">
      <c r="A319" s="169"/>
      <c r="B319" s="273"/>
      <c r="C319" s="378"/>
      <c r="D319" s="588" t="s">
        <v>1038</v>
      </c>
      <c r="E319" s="952" t="e">
        <f ca="1">VLOOKUP($D319,Data!$C$2:$H$370,6,FALSE)</f>
        <v>#VALUE!</v>
      </c>
      <c r="F319" s="378"/>
      <c r="G319" s="588" t="s">
        <v>1038</v>
      </c>
      <c r="H319" s="949" t="e">
        <f t="shared" ca="1" si="19"/>
        <v>#VALUE!</v>
      </c>
      <c r="I319" s="740" t="str">
        <f t="shared" ca="1" si="15"/>
        <v/>
      </c>
      <c r="J319" s="740" t="str">
        <f t="shared" ca="1" si="16"/>
        <v/>
      </c>
      <c r="K319" s="740" t="str">
        <f t="shared" ca="1" si="17"/>
        <v/>
      </c>
      <c r="L319" s="740" t="str">
        <f t="shared" ca="1" si="18"/>
        <v/>
      </c>
      <c r="M319" s="264"/>
      <c r="N319" s="277"/>
      <c r="O319" s="278"/>
    </row>
    <row r="320" spans="1:15" ht="13.95" customHeight="1" x14ac:dyDescent="0.25">
      <c r="A320" s="169"/>
      <c r="B320" s="273"/>
      <c r="C320" s="378"/>
      <c r="D320" s="588" t="s">
        <v>72</v>
      </c>
      <c r="E320" s="952" t="e">
        <f ca="1">VLOOKUP($D320,Data!$C$2:$H$370,6,FALSE)</f>
        <v>#VALUE!</v>
      </c>
      <c r="F320" s="378"/>
      <c r="G320" s="588" t="s">
        <v>72</v>
      </c>
      <c r="H320" s="949" t="e">
        <f t="shared" ca="1" si="19"/>
        <v>#VALUE!</v>
      </c>
      <c r="I320" s="740" t="str">
        <f t="shared" ca="1" si="15"/>
        <v/>
      </c>
      <c r="J320" s="740" t="str">
        <f t="shared" ca="1" si="16"/>
        <v/>
      </c>
      <c r="K320" s="740" t="str">
        <f t="shared" ca="1" si="17"/>
        <v/>
      </c>
      <c r="L320" s="740" t="str">
        <f t="shared" ca="1" si="18"/>
        <v/>
      </c>
      <c r="M320" s="264"/>
      <c r="N320" s="277"/>
      <c r="O320" s="278"/>
    </row>
    <row r="321" spans="1:15" ht="13.95" customHeight="1" x14ac:dyDescent="0.25">
      <c r="A321" s="169"/>
      <c r="B321" s="273"/>
      <c r="C321" s="378"/>
      <c r="D321" s="588" t="s">
        <v>75</v>
      </c>
      <c r="E321" s="952" t="e">
        <f ca="1">VLOOKUP($D321,Data!$C$2:$H$370,6,FALSE)</f>
        <v>#VALUE!</v>
      </c>
      <c r="F321" s="378"/>
      <c r="G321" s="588" t="s">
        <v>75</v>
      </c>
      <c r="H321" s="949" t="e">
        <f t="shared" ca="1" si="19"/>
        <v>#VALUE!</v>
      </c>
      <c r="I321" s="740" t="str">
        <f t="shared" ca="1" si="15"/>
        <v/>
      </c>
      <c r="J321" s="740" t="str">
        <f t="shared" ca="1" si="16"/>
        <v/>
      </c>
      <c r="K321" s="740" t="str">
        <f t="shared" ca="1" si="17"/>
        <v/>
      </c>
      <c r="L321" s="740" t="str">
        <f t="shared" ca="1" si="18"/>
        <v/>
      </c>
      <c r="M321" s="264"/>
      <c r="N321" s="277"/>
      <c r="O321" s="278"/>
    </row>
    <row r="322" spans="1:15" ht="13.95" customHeight="1" x14ac:dyDescent="0.25">
      <c r="A322" s="169"/>
      <c r="B322" s="273"/>
      <c r="C322" s="378"/>
      <c r="D322" s="588" t="s">
        <v>78</v>
      </c>
      <c r="E322" s="952" t="e">
        <f ca="1">VLOOKUP($D322,Data!$C$2:$H$370,6,FALSE)</f>
        <v>#VALUE!</v>
      </c>
      <c r="F322" s="378"/>
      <c r="G322" s="588" t="s">
        <v>78</v>
      </c>
      <c r="H322" s="949" t="e">
        <f t="shared" ca="1" si="19"/>
        <v>#VALUE!</v>
      </c>
      <c r="I322" s="740" t="str">
        <f t="shared" ca="1" si="15"/>
        <v/>
      </c>
      <c r="J322" s="740" t="str">
        <f t="shared" ca="1" si="16"/>
        <v/>
      </c>
      <c r="K322" s="740" t="str">
        <f t="shared" ca="1" si="17"/>
        <v/>
      </c>
      <c r="L322" s="740" t="str">
        <f t="shared" ca="1" si="18"/>
        <v/>
      </c>
      <c r="M322" s="264"/>
      <c r="N322" s="277"/>
      <c r="O322" s="278"/>
    </row>
    <row r="323" spans="1:15" ht="13.95" customHeight="1" x14ac:dyDescent="0.25">
      <c r="A323" s="169"/>
      <c r="B323" s="273"/>
      <c r="C323" s="378"/>
      <c r="D323" s="588" t="s">
        <v>81</v>
      </c>
      <c r="E323" s="952" t="e">
        <f ca="1">VLOOKUP($D323,Data!$C$2:$H$370,6,FALSE)</f>
        <v>#VALUE!</v>
      </c>
      <c r="F323" s="378"/>
      <c r="G323" s="588" t="s">
        <v>81</v>
      </c>
      <c r="H323" s="949" t="e">
        <f t="shared" ca="1" si="19"/>
        <v>#VALUE!</v>
      </c>
      <c r="I323" s="740" t="str">
        <f t="shared" ca="1" si="15"/>
        <v/>
      </c>
      <c r="J323" s="740" t="str">
        <f t="shared" ca="1" si="16"/>
        <v/>
      </c>
      <c r="K323" s="740" t="str">
        <f t="shared" ca="1" si="17"/>
        <v/>
      </c>
      <c r="L323" s="740" t="str">
        <f t="shared" ca="1" si="18"/>
        <v/>
      </c>
      <c r="M323" s="264"/>
      <c r="N323" s="277"/>
      <c r="O323" s="278"/>
    </row>
    <row r="324" spans="1:15" ht="13.95" customHeight="1" x14ac:dyDescent="0.25">
      <c r="A324" s="169"/>
      <c r="B324" s="273"/>
      <c r="C324" s="378"/>
      <c r="D324" s="588" t="s">
        <v>83</v>
      </c>
      <c r="E324" s="952" t="e">
        <f ca="1">VLOOKUP($D324,Data!$C$2:$H$370,6,FALSE)</f>
        <v>#VALUE!</v>
      </c>
      <c r="F324" s="378"/>
      <c r="G324" s="588" t="s">
        <v>83</v>
      </c>
      <c r="H324" s="949" t="e">
        <f t="shared" ca="1" si="19"/>
        <v>#VALUE!</v>
      </c>
      <c r="I324" s="740" t="str">
        <f t="shared" ca="1" si="15"/>
        <v/>
      </c>
      <c r="J324" s="740" t="str">
        <f t="shared" ca="1" si="16"/>
        <v/>
      </c>
      <c r="K324" s="740" t="str">
        <f t="shared" ca="1" si="17"/>
        <v/>
      </c>
      <c r="L324" s="740" t="str">
        <f t="shared" ca="1" si="18"/>
        <v/>
      </c>
      <c r="M324" s="264"/>
      <c r="N324" s="277"/>
      <c r="O324" s="278"/>
    </row>
    <row r="325" spans="1:15" ht="13.95" customHeight="1" x14ac:dyDescent="0.25">
      <c r="A325" s="169"/>
      <c r="B325" s="273"/>
      <c r="C325" s="378"/>
      <c r="D325" s="588" t="s">
        <v>85</v>
      </c>
      <c r="E325" s="952" t="e">
        <f ca="1">VLOOKUP($D325,Data!$C$2:$H$370,6,FALSE)</f>
        <v>#VALUE!</v>
      </c>
      <c r="F325" s="378"/>
      <c r="G325" s="588" t="s">
        <v>85</v>
      </c>
      <c r="H325" s="949" t="e">
        <f t="shared" ca="1" si="19"/>
        <v>#VALUE!</v>
      </c>
      <c r="I325" s="740" t="str">
        <f t="shared" ca="1" si="15"/>
        <v/>
      </c>
      <c r="J325" s="740" t="str">
        <f t="shared" ca="1" si="16"/>
        <v/>
      </c>
      <c r="K325" s="740" t="str">
        <f t="shared" ca="1" si="17"/>
        <v/>
      </c>
      <c r="L325" s="740" t="str">
        <f t="shared" ca="1" si="18"/>
        <v/>
      </c>
      <c r="M325" s="264"/>
      <c r="N325" s="277"/>
      <c r="O325" s="278"/>
    </row>
    <row r="326" spans="1:15" ht="13.95" customHeight="1" x14ac:dyDescent="0.25">
      <c r="A326" s="169"/>
      <c r="B326" s="273"/>
      <c r="C326" s="378"/>
      <c r="D326" s="588" t="s">
        <v>87</v>
      </c>
      <c r="E326" s="952" t="e">
        <f ca="1">VLOOKUP($D326,Data!$C$2:$H$370,6,FALSE)</f>
        <v>#VALUE!</v>
      </c>
      <c r="F326" s="378"/>
      <c r="G326" s="588" t="s">
        <v>87</v>
      </c>
      <c r="H326" s="949" t="e">
        <f t="shared" ca="1" si="19"/>
        <v>#VALUE!</v>
      </c>
      <c r="I326" s="740" t="str">
        <f t="shared" ca="1" si="15"/>
        <v/>
      </c>
      <c r="J326" s="740" t="str">
        <f t="shared" ca="1" si="16"/>
        <v/>
      </c>
      <c r="K326" s="740" t="str">
        <f t="shared" ca="1" si="17"/>
        <v/>
      </c>
      <c r="L326" s="740" t="str">
        <f t="shared" ca="1" si="18"/>
        <v/>
      </c>
      <c r="M326" s="264"/>
      <c r="N326" s="277"/>
      <c r="O326" s="278"/>
    </row>
    <row r="327" spans="1:15" ht="13.95" customHeight="1" x14ac:dyDescent="0.25">
      <c r="A327" s="169"/>
      <c r="B327" s="273"/>
      <c r="C327" s="378"/>
      <c r="D327" s="588" t="s">
        <v>1039</v>
      </c>
      <c r="E327" s="952" t="e">
        <f ca="1">VLOOKUP($D327,Data!$C$2:$H$370,6,FALSE)</f>
        <v>#VALUE!</v>
      </c>
      <c r="F327" s="378"/>
      <c r="G327" s="588" t="s">
        <v>1039</v>
      </c>
      <c r="H327" s="949" t="e">
        <f t="shared" ca="1" si="19"/>
        <v>#VALUE!</v>
      </c>
      <c r="I327" s="740" t="str">
        <f t="shared" ca="1" si="15"/>
        <v/>
      </c>
      <c r="J327" s="740" t="str">
        <f t="shared" ca="1" si="16"/>
        <v/>
      </c>
      <c r="K327" s="740" t="str">
        <f t="shared" ca="1" si="17"/>
        <v/>
      </c>
      <c r="L327" s="740" t="str">
        <f t="shared" ca="1" si="18"/>
        <v/>
      </c>
      <c r="M327" s="264"/>
      <c r="N327" s="277"/>
      <c r="O327" s="278"/>
    </row>
    <row r="328" spans="1:15" ht="13.95" customHeight="1" x14ac:dyDescent="0.25">
      <c r="A328" s="169"/>
      <c r="B328" s="273"/>
      <c r="C328" s="378"/>
      <c r="D328" s="588" t="s">
        <v>1040</v>
      </c>
      <c r="E328" s="952" t="e">
        <f ca="1">VLOOKUP($D328,Data!$C$2:$H$370,6,FALSE)</f>
        <v>#VALUE!</v>
      </c>
      <c r="F328" s="378"/>
      <c r="G328" s="588" t="s">
        <v>1040</v>
      </c>
      <c r="H328" s="949" t="e">
        <f t="shared" ca="1" si="19"/>
        <v>#VALUE!</v>
      </c>
      <c r="I328" s="740" t="str">
        <f t="shared" ca="1" si="15"/>
        <v/>
      </c>
      <c r="J328" s="740" t="str">
        <f t="shared" ca="1" si="16"/>
        <v/>
      </c>
      <c r="K328" s="740" t="str">
        <f t="shared" ca="1" si="17"/>
        <v/>
      </c>
      <c r="L328" s="740" t="str">
        <f t="shared" ca="1" si="18"/>
        <v/>
      </c>
      <c r="M328" s="264"/>
      <c r="N328" s="277"/>
      <c r="O328" s="278"/>
    </row>
    <row r="329" spans="1:15" ht="13.95" customHeight="1" x14ac:dyDescent="0.25">
      <c r="A329" s="169"/>
      <c r="B329" s="273"/>
      <c r="C329" s="378"/>
      <c r="D329" s="588" t="s">
        <v>1041</v>
      </c>
      <c r="E329" s="952" t="e">
        <f ca="1">VLOOKUP($D329,Data!$C$2:$H$370,6,FALSE)</f>
        <v>#VALUE!</v>
      </c>
      <c r="F329" s="378"/>
      <c r="G329" s="588" t="s">
        <v>1041</v>
      </c>
      <c r="H329" s="949" t="e">
        <f t="shared" ca="1" si="19"/>
        <v>#VALUE!</v>
      </c>
      <c r="I329" s="740" t="str">
        <f t="shared" ca="1" si="15"/>
        <v/>
      </c>
      <c r="J329" s="740" t="str">
        <f t="shared" ca="1" si="16"/>
        <v/>
      </c>
      <c r="K329" s="740" t="str">
        <f t="shared" ca="1" si="17"/>
        <v/>
      </c>
      <c r="L329" s="740" t="str">
        <f t="shared" ca="1" si="18"/>
        <v/>
      </c>
      <c r="M329" s="264"/>
      <c r="N329" s="277"/>
      <c r="O329" s="278"/>
    </row>
    <row r="330" spans="1:15" ht="13.95" customHeight="1" x14ac:dyDescent="0.25">
      <c r="A330" s="169"/>
      <c r="B330" s="273"/>
      <c r="C330" s="378"/>
      <c r="D330" s="588" t="s">
        <v>1042</v>
      </c>
      <c r="E330" s="952" t="e">
        <f ca="1">VLOOKUP($D330,Data!$C$2:$H$370,6,FALSE)</f>
        <v>#VALUE!</v>
      </c>
      <c r="F330" s="378"/>
      <c r="G330" s="588" t="s">
        <v>1042</v>
      </c>
      <c r="H330" s="949" t="e">
        <f t="shared" ca="1" si="19"/>
        <v>#VALUE!</v>
      </c>
      <c r="I330" s="740" t="str">
        <f t="shared" ca="1" si="15"/>
        <v/>
      </c>
      <c r="J330" s="740" t="str">
        <f t="shared" ca="1" si="16"/>
        <v/>
      </c>
      <c r="K330" s="740" t="str">
        <f t="shared" ca="1" si="17"/>
        <v/>
      </c>
      <c r="L330" s="740" t="str">
        <f t="shared" ca="1" si="18"/>
        <v/>
      </c>
      <c r="M330" s="264"/>
      <c r="N330" s="277"/>
      <c r="O330" s="278"/>
    </row>
    <row r="331" spans="1:15" ht="13.95" customHeight="1" x14ac:dyDescent="0.25">
      <c r="A331" s="169"/>
      <c r="B331" s="273"/>
      <c r="C331" s="378"/>
      <c r="D331" s="588" t="s">
        <v>1043</v>
      </c>
      <c r="E331" s="952" t="e">
        <f ca="1">VLOOKUP($D331,Data!$C$2:$H$370,6,FALSE)</f>
        <v>#VALUE!</v>
      </c>
      <c r="F331" s="378"/>
      <c r="G331" s="588" t="s">
        <v>1043</v>
      </c>
      <c r="H331" s="949" t="e">
        <f t="shared" ca="1" si="19"/>
        <v>#VALUE!</v>
      </c>
      <c r="I331" s="740" t="str">
        <f t="shared" ca="1" si="15"/>
        <v/>
      </c>
      <c r="J331" s="740" t="str">
        <f t="shared" ca="1" si="16"/>
        <v/>
      </c>
      <c r="K331" s="740" t="str">
        <f t="shared" ca="1" si="17"/>
        <v/>
      </c>
      <c r="L331" s="740" t="str">
        <f t="shared" ca="1" si="18"/>
        <v/>
      </c>
      <c r="M331" s="264"/>
      <c r="N331" s="277"/>
      <c r="O331" s="278"/>
    </row>
    <row r="332" spans="1:15" ht="13.95" customHeight="1" x14ac:dyDescent="0.25">
      <c r="A332" s="169"/>
      <c r="B332" s="273"/>
      <c r="C332" s="378"/>
      <c r="D332" s="588" t="s">
        <v>1044</v>
      </c>
      <c r="E332" s="952" t="e">
        <f ca="1">VLOOKUP($D332,Data!$C$2:$H$370,6,FALSE)</f>
        <v>#VALUE!</v>
      </c>
      <c r="F332" s="378"/>
      <c r="G332" s="588" t="s">
        <v>1044</v>
      </c>
      <c r="H332" s="949" t="e">
        <f t="shared" ca="1" si="19"/>
        <v>#VALUE!</v>
      </c>
      <c r="I332" s="740" t="str">
        <f t="shared" ca="1" si="15"/>
        <v/>
      </c>
      <c r="J332" s="740" t="str">
        <f t="shared" ca="1" si="16"/>
        <v/>
      </c>
      <c r="K332" s="740" t="str">
        <f t="shared" ca="1" si="17"/>
        <v/>
      </c>
      <c r="L332" s="740" t="str">
        <f t="shared" ca="1" si="18"/>
        <v/>
      </c>
      <c r="M332" s="264"/>
      <c r="N332" s="277"/>
      <c r="O332" s="278"/>
    </row>
    <row r="333" spans="1:15" ht="13.95" customHeight="1" x14ac:dyDescent="0.25">
      <c r="A333" s="169"/>
      <c r="B333" s="273"/>
      <c r="C333" s="378"/>
      <c r="D333" s="588" t="s">
        <v>1045</v>
      </c>
      <c r="E333" s="952" t="e">
        <f ca="1">VLOOKUP($D333,Data!$C$2:$H$370,6,FALSE)</f>
        <v>#VALUE!</v>
      </c>
      <c r="F333" s="378"/>
      <c r="G333" s="588" t="s">
        <v>1045</v>
      </c>
      <c r="H333" s="949" t="e">
        <f t="shared" ca="1" si="19"/>
        <v>#VALUE!</v>
      </c>
      <c r="I333" s="740" t="str">
        <f t="shared" ca="1" si="15"/>
        <v/>
      </c>
      <c r="J333" s="740" t="str">
        <f t="shared" ca="1" si="16"/>
        <v/>
      </c>
      <c r="K333" s="740" t="str">
        <f t="shared" ca="1" si="17"/>
        <v/>
      </c>
      <c r="L333" s="740" t="str">
        <f t="shared" ca="1" si="18"/>
        <v/>
      </c>
      <c r="M333" s="264"/>
      <c r="N333" s="277"/>
      <c r="O333" s="278"/>
    </row>
    <row r="334" spans="1:15" ht="13.95" customHeight="1" x14ac:dyDescent="0.25">
      <c r="A334" s="169"/>
      <c r="B334" s="273"/>
      <c r="C334" s="378"/>
      <c r="D334" s="588" t="s">
        <v>1046</v>
      </c>
      <c r="E334" s="952" t="e">
        <f ca="1">VLOOKUP($D334,Data!$C$2:$H$370,6,FALSE)</f>
        <v>#VALUE!</v>
      </c>
      <c r="F334" s="378"/>
      <c r="G334" s="588" t="s">
        <v>1046</v>
      </c>
      <c r="H334" s="949" t="e">
        <f t="shared" ca="1" si="19"/>
        <v>#VALUE!</v>
      </c>
      <c r="I334" s="740" t="str">
        <f t="shared" ca="1" si="15"/>
        <v/>
      </c>
      <c r="J334" s="740" t="str">
        <f t="shared" ca="1" si="16"/>
        <v/>
      </c>
      <c r="K334" s="740" t="str">
        <f t="shared" ca="1" si="17"/>
        <v/>
      </c>
      <c r="L334" s="740" t="str">
        <f t="shared" ca="1" si="18"/>
        <v/>
      </c>
      <c r="M334" s="264"/>
      <c r="N334" s="277"/>
      <c r="O334" s="278"/>
    </row>
    <row r="335" spans="1:15" ht="13.95" customHeight="1" x14ac:dyDescent="0.25">
      <c r="A335" s="169"/>
      <c r="B335" s="273"/>
      <c r="C335" s="378"/>
      <c r="D335" s="588" t="s">
        <v>1047</v>
      </c>
      <c r="E335" s="952" t="e">
        <f ca="1">VLOOKUP($D335,Data!$C$2:$H$370,6,FALSE)</f>
        <v>#VALUE!</v>
      </c>
      <c r="F335" s="378"/>
      <c r="G335" s="588" t="s">
        <v>1047</v>
      </c>
      <c r="H335" s="949" t="e">
        <f t="shared" ca="1" si="19"/>
        <v>#VALUE!</v>
      </c>
      <c r="I335" s="740" t="str">
        <f t="shared" ref="I335:I398" ca="1" si="20">IF(VLOOKUP(RIGHT($G335,LEN($G335)-FIND("-",$G335)), INDIRECT("'"&amp;LEFT($G335,FIND("-",$G335)-1)&amp;"'!"&amp;"$D:$K"), 5,FALSE) = 0, "",
VLOOKUP(RIGHT($G335,LEN($G335)-FIND("-",$G335)), INDIRECT("'"&amp;LEFT($G335,FIND("-",$G335)-1)&amp;"'!"&amp;"$D:$K"), 5,FALSE) )</f>
        <v/>
      </c>
      <c r="J335" s="740" t="str">
        <f t="shared" ref="J335:J398" ca="1" si="21">IF(VLOOKUP(RIGHT($G335,LEN($G335)-FIND("-",$G335)), INDIRECT("'"&amp;LEFT($G335,FIND("-",$G335)-1)&amp;"'!"&amp;"$D:$K"), 6,FALSE) = 0, "",
VLOOKUP(RIGHT($G335,LEN($G335)-FIND("-",$G335)), INDIRECT("'"&amp;LEFT($G335,FIND("-",$G335)-1)&amp;"'!"&amp;"$D:$K"), 6,FALSE) )</f>
        <v/>
      </c>
      <c r="K335" s="740" t="str">
        <f t="shared" ref="K335:K398" ca="1" si="22">IF(VLOOKUP(RIGHT($G335,LEN($G335)-FIND("-",$G335)), INDIRECT("'"&amp;LEFT($G335,FIND("-",$G335)-1)&amp;"'!"&amp;"$D:$K"), 7,FALSE) = 0, "",
VLOOKUP(RIGHT($G335,LEN($G335)-FIND("-",$G335)), INDIRECT("'"&amp;LEFT($G335,FIND("-",$G335)-1)&amp;"'!"&amp;"$D:$K"), 7,FALSE) )</f>
        <v/>
      </c>
      <c r="L335" s="740" t="str">
        <f t="shared" ref="L335:L398" ca="1" si="23">IF(VLOOKUP(RIGHT($G335,LEN($G335)-FIND("-",$G335)), INDIRECT("'"&amp;LEFT($G335,FIND("-",$G335)-1)&amp;"'!"&amp;"$D:$K"), 8,FALSE) = 0, "",
VLOOKUP(RIGHT($G335,LEN($G335)-FIND("-",$G335)), INDIRECT("'"&amp;LEFT($G335,FIND("-",$G335)-1)&amp;"'!"&amp;"$D:$K"), 8,FALSE) )</f>
        <v/>
      </c>
      <c r="M335" s="264"/>
      <c r="N335" s="277"/>
      <c r="O335" s="278"/>
    </row>
    <row r="336" spans="1:15" ht="13.95" customHeight="1" x14ac:dyDescent="0.25">
      <c r="A336" s="169"/>
      <c r="B336" s="273"/>
      <c r="C336" s="378"/>
      <c r="D336" s="588" t="s">
        <v>1048</v>
      </c>
      <c r="E336" s="952" t="e">
        <f ca="1">VLOOKUP($D336,Data!$C$2:$H$370,6,FALSE)</f>
        <v>#VALUE!</v>
      </c>
      <c r="F336" s="378"/>
      <c r="G336" s="588" t="s">
        <v>1048</v>
      </c>
      <c r="H336" s="949" t="e">
        <f t="shared" ref="H336:H399" ca="1" si="24">INT(LEFT(
VLOOKUP(RIGHT($G336,LEN($G336)-FIND("-",$G336)), INDIRECT("'"&amp;LEFT($G336,FIND("-",$G336)-1)&amp;"'!"&amp;"$D:$K"), 4,FALSE), 1)
)</f>
        <v>#VALUE!</v>
      </c>
      <c r="I336" s="740" t="str">
        <f t="shared" ca="1" si="20"/>
        <v/>
      </c>
      <c r="J336" s="740" t="str">
        <f t="shared" ca="1" si="21"/>
        <v/>
      </c>
      <c r="K336" s="740" t="str">
        <f t="shared" ca="1" si="22"/>
        <v/>
      </c>
      <c r="L336" s="740" t="str">
        <f t="shared" ca="1" si="23"/>
        <v/>
      </c>
      <c r="M336" s="264"/>
      <c r="N336" s="277"/>
      <c r="O336" s="278"/>
    </row>
    <row r="337" spans="1:15" ht="13.95" customHeight="1" x14ac:dyDescent="0.25">
      <c r="A337" s="169"/>
      <c r="B337" s="273"/>
      <c r="C337" s="378"/>
      <c r="D337" s="588" t="s">
        <v>1049</v>
      </c>
      <c r="E337" s="952" t="e">
        <f ca="1">VLOOKUP($D337,Data!$C$2:$H$370,6,FALSE)</f>
        <v>#VALUE!</v>
      </c>
      <c r="F337" s="378"/>
      <c r="G337" s="588" t="s">
        <v>1049</v>
      </c>
      <c r="H337" s="949" t="e">
        <f t="shared" ca="1" si="24"/>
        <v>#VALUE!</v>
      </c>
      <c r="I337" s="740" t="str">
        <f t="shared" ca="1" si="20"/>
        <v/>
      </c>
      <c r="J337" s="740" t="str">
        <f t="shared" ca="1" si="21"/>
        <v/>
      </c>
      <c r="K337" s="740" t="str">
        <f t="shared" ca="1" si="22"/>
        <v/>
      </c>
      <c r="L337" s="740" t="str">
        <f t="shared" ca="1" si="23"/>
        <v/>
      </c>
      <c r="M337" s="264"/>
      <c r="N337" s="277"/>
      <c r="O337" s="278"/>
    </row>
    <row r="338" spans="1:15" ht="13.95" customHeight="1" x14ac:dyDescent="0.25">
      <c r="A338" s="169"/>
      <c r="B338" s="273"/>
      <c r="C338" s="378"/>
      <c r="D338" s="588" t="s">
        <v>222</v>
      </c>
      <c r="E338" s="952" t="e">
        <f ca="1">VLOOKUP($D338,Data!$C$2:$H$370,6,FALSE)</f>
        <v>#VALUE!</v>
      </c>
      <c r="F338" s="378"/>
      <c r="G338" s="588" t="s">
        <v>222</v>
      </c>
      <c r="H338" s="949" t="e">
        <f t="shared" ca="1" si="24"/>
        <v>#VALUE!</v>
      </c>
      <c r="I338" s="740" t="str">
        <f t="shared" ca="1" si="20"/>
        <v/>
      </c>
      <c r="J338" s="740" t="str">
        <f t="shared" ca="1" si="21"/>
        <v/>
      </c>
      <c r="K338" s="740" t="str">
        <f t="shared" ca="1" si="22"/>
        <v/>
      </c>
      <c r="L338" s="740" t="str">
        <f t="shared" ca="1" si="23"/>
        <v/>
      </c>
      <c r="M338" s="264"/>
      <c r="N338" s="277"/>
      <c r="O338" s="278"/>
    </row>
    <row r="339" spans="1:15" ht="13.95" customHeight="1" x14ac:dyDescent="0.25">
      <c r="A339" s="169"/>
      <c r="B339" s="273"/>
      <c r="C339" s="378"/>
      <c r="D339" s="588" t="s">
        <v>223</v>
      </c>
      <c r="E339" s="952" t="e">
        <f ca="1">VLOOKUP($D339,Data!$C$2:$H$370,6,FALSE)</f>
        <v>#VALUE!</v>
      </c>
      <c r="F339" s="378"/>
      <c r="G339" s="588" t="s">
        <v>223</v>
      </c>
      <c r="H339" s="949" t="e">
        <f t="shared" ca="1" si="24"/>
        <v>#VALUE!</v>
      </c>
      <c r="I339" s="740" t="str">
        <f t="shared" ca="1" si="20"/>
        <v/>
      </c>
      <c r="J339" s="740" t="str">
        <f t="shared" ca="1" si="21"/>
        <v/>
      </c>
      <c r="K339" s="740" t="str">
        <f t="shared" ca="1" si="22"/>
        <v/>
      </c>
      <c r="L339" s="740" t="str">
        <f t="shared" ca="1" si="23"/>
        <v/>
      </c>
      <c r="M339" s="264"/>
      <c r="N339" s="277"/>
      <c r="O339" s="278"/>
    </row>
    <row r="340" spans="1:15" ht="13.95" customHeight="1" x14ac:dyDescent="0.25">
      <c r="A340" s="169"/>
      <c r="B340" s="273"/>
      <c r="C340" s="378"/>
      <c r="D340" s="588" t="s">
        <v>224</v>
      </c>
      <c r="E340" s="952" t="e">
        <f ca="1">VLOOKUP($D340,Data!$C$2:$H$370,6,FALSE)</f>
        <v>#VALUE!</v>
      </c>
      <c r="F340" s="378"/>
      <c r="G340" s="588" t="s">
        <v>224</v>
      </c>
      <c r="H340" s="949" t="e">
        <f t="shared" ca="1" si="24"/>
        <v>#VALUE!</v>
      </c>
      <c r="I340" s="740" t="str">
        <f t="shared" ca="1" si="20"/>
        <v/>
      </c>
      <c r="J340" s="740" t="str">
        <f t="shared" ca="1" si="21"/>
        <v/>
      </c>
      <c r="K340" s="740" t="str">
        <f t="shared" ca="1" si="22"/>
        <v/>
      </c>
      <c r="L340" s="740" t="str">
        <f t="shared" ca="1" si="23"/>
        <v/>
      </c>
      <c r="M340" s="264"/>
      <c r="N340" s="277"/>
      <c r="O340" s="278"/>
    </row>
    <row r="341" spans="1:15" ht="13.95" customHeight="1" x14ac:dyDescent="0.25">
      <c r="A341" s="169"/>
      <c r="B341" s="273"/>
      <c r="C341" s="378"/>
      <c r="D341" s="588" t="s">
        <v>225</v>
      </c>
      <c r="E341" s="952" t="e">
        <f ca="1">VLOOKUP($D341,Data!$C$2:$H$370,6,FALSE)</f>
        <v>#VALUE!</v>
      </c>
      <c r="F341" s="378"/>
      <c r="G341" s="588" t="s">
        <v>225</v>
      </c>
      <c r="H341" s="949" t="e">
        <f t="shared" ca="1" si="24"/>
        <v>#VALUE!</v>
      </c>
      <c r="I341" s="740" t="str">
        <f t="shared" ca="1" si="20"/>
        <v/>
      </c>
      <c r="J341" s="740" t="str">
        <f t="shared" ca="1" si="21"/>
        <v/>
      </c>
      <c r="K341" s="740" t="str">
        <f t="shared" ca="1" si="22"/>
        <v/>
      </c>
      <c r="L341" s="740" t="str">
        <f t="shared" ca="1" si="23"/>
        <v/>
      </c>
      <c r="M341" s="264"/>
      <c r="N341" s="277"/>
      <c r="O341" s="278"/>
    </row>
    <row r="342" spans="1:15" ht="13.95" customHeight="1" x14ac:dyDescent="0.25">
      <c r="A342" s="169"/>
      <c r="B342" s="273"/>
      <c r="C342" s="378"/>
      <c r="D342" s="588" t="s">
        <v>1059</v>
      </c>
      <c r="E342" s="952" t="e">
        <f ca="1">VLOOKUP($D342,Data!$C$2:$H$370,6,FALSE)</f>
        <v>#VALUE!</v>
      </c>
      <c r="F342" s="378"/>
      <c r="G342" s="588" t="s">
        <v>1059</v>
      </c>
      <c r="H342" s="949" t="e">
        <f t="shared" ca="1" si="24"/>
        <v>#VALUE!</v>
      </c>
      <c r="I342" s="740" t="str">
        <f t="shared" ca="1" si="20"/>
        <v/>
      </c>
      <c r="J342" s="740" t="str">
        <f t="shared" ca="1" si="21"/>
        <v/>
      </c>
      <c r="K342" s="740" t="str">
        <f t="shared" ca="1" si="22"/>
        <v/>
      </c>
      <c r="L342" s="740" t="str">
        <f t="shared" ca="1" si="23"/>
        <v/>
      </c>
      <c r="M342" s="264"/>
      <c r="N342" s="277"/>
      <c r="O342" s="278"/>
    </row>
    <row r="343" spans="1:15" ht="13.95" customHeight="1" x14ac:dyDescent="0.25">
      <c r="A343" s="169"/>
      <c r="B343" s="273"/>
      <c r="C343" s="378"/>
      <c r="D343" s="588" t="s">
        <v>226</v>
      </c>
      <c r="E343" s="952" t="e">
        <f ca="1">VLOOKUP($D343,Data!$C$2:$H$370,6,FALSE)</f>
        <v>#VALUE!</v>
      </c>
      <c r="F343" s="378"/>
      <c r="G343" s="588" t="s">
        <v>226</v>
      </c>
      <c r="H343" s="949" t="e">
        <f t="shared" ca="1" si="24"/>
        <v>#VALUE!</v>
      </c>
      <c r="I343" s="740" t="str">
        <f t="shared" ca="1" si="20"/>
        <v/>
      </c>
      <c r="J343" s="740" t="str">
        <f t="shared" ca="1" si="21"/>
        <v/>
      </c>
      <c r="K343" s="740" t="str">
        <f t="shared" ca="1" si="22"/>
        <v/>
      </c>
      <c r="L343" s="740" t="str">
        <f t="shared" ca="1" si="23"/>
        <v/>
      </c>
      <c r="M343" s="264"/>
      <c r="N343" s="277"/>
      <c r="O343" s="278"/>
    </row>
    <row r="344" spans="1:15" ht="13.95" customHeight="1" x14ac:dyDescent="0.25">
      <c r="A344" s="169"/>
      <c r="B344" s="273"/>
      <c r="C344" s="378"/>
      <c r="D344" s="588" t="s">
        <v>227</v>
      </c>
      <c r="E344" s="952" t="e">
        <f ca="1">VLOOKUP($D344,Data!$C$2:$H$370,6,FALSE)</f>
        <v>#VALUE!</v>
      </c>
      <c r="F344" s="378"/>
      <c r="G344" s="588" t="s">
        <v>227</v>
      </c>
      <c r="H344" s="949" t="e">
        <f t="shared" ca="1" si="24"/>
        <v>#VALUE!</v>
      </c>
      <c r="I344" s="740" t="str">
        <f t="shared" ca="1" si="20"/>
        <v/>
      </c>
      <c r="J344" s="740" t="str">
        <f t="shared" ca="1" si="21"/>
        <v/>
      </c>
      <c r="K344" s="740" t="str">
        <f t="shared" ca="1" si="22"/>
        <v/>
      </c>
      <c r="L344" s="740" t="str">
        <f t="shared" ca="1" si="23"/>
        <v/>
      </c>
      <c r="M344" s="264"/>
      <c r="N344" s="277"/>
      <c r="O344" s="278"/>
    </row>
    <row r="345" spans="1:15" ht="13.95" customHeight="1" x14ac:dyDescent="0.25">
      <c r="A345" s="169"/>
      <c r="B345" s="273"/>
      <c r="C345" s="378"/>
      <c r="D345" s="588" t="s">
        <v>228</v>
      </c>
      <c r="E345" s="952" t="e">
        <f ca="1">VLOOKUP($D345,Data!$C$2:$H$370,6,FALSE)</f>
        <v>#VALUE!</v>
      </c>
      <c r="F345" s="378"/>
      <c r="G345" s="588" t="s">
        <v>228</v>
      </c>
      <c r="H345" s="949" t="e">
        <f t="shared" ca="1" si="24"/>
        <v>#VALUE!</v>
      </c>
      <c r="I345" s="740" t="str">
        <f t="shared" ca="1" si="20"/>
        <v/>
      </c>
      <c r="J345" s="740" t="str">
        <f t="shared" ca="1" si="21"/>
        <v/>
      </c>
      <c r="K345" s="740" t="str">
        <f t="shared" ca="1" si="22"/>
        <v/>
      </c>
      <c r="L345" s="740" t="str">
        <f t="shared" ca="1" si="23"/>
        <v/>
      </c>
      <c r="M345" s="264"/>
      <c r="N345" s="277"/>
      <c r="O345" s="278"/>
    </row>
    <row r="346" spans="1:15" ht="13.95" customHeight="1" x14ac:dyDescent="0.25">
      <c r="A346" s="169"/>
      <c r="B346" s="273"/>
      <c r="C346" s="378"/>
      <c r="D346" s="588" t="s">
        <v>229</v>
      </c>
      <c r="E346" s="952" t="e">
        <f ca="1">VLOOKUP($D346,Data!$C$2:$H$370,6,FALSE)</f>
        <v>#VALUE!</v>
      </c>
      <c r="F346" s="378"/>
      <c r="G346" s="588" t="s">
        <v>229</v>
      </c>
      <c r="H346" s="949" t="e">
        <f t="shared" ca="1" si="24"/>
        <v>#VALUE!</v>
      </c>
      <c r="I346" s="740" t="str">
        <f t="shared" ca="1" si="20"/>
        <v/>
      </c>
      <c r="J346" s="740" t="str">
        <f t="shared" ca="1" si="21"/>
        <v/>
      </c>
      <c r="K346" s="740" t="str">
        <f t="shared" ca="1" si="22"/>
        <v/>
      </c>
      <c r="L346" s="740" t="str">
        <f t="shared" ca="1" si="23"/>
        <v/>
      </c>
      <c r="M346" s="264"/>
      <c r="N346" s="277"/>
      <c r="O346" s="278"/>
    </row>
    <row r="347" spans="1:15" ht="13.95" customHeight="1" x14ac:dyDescent="0.25">
      <c r="A347" s="169"/>
      <c r="B347" s="273"/>
      <c r="C347" s="378"/>
      <c r="D347" s="588" t="s">
        <v>230</v>
      </c>
      <c r="E347" s="952" t="e">
        <f ca="1">VLOOKUP($D347,Data!$C$2:$H$370,6,FALSE)</f>
        <v>#VALUE!</v>
      </c>
      <c r="F347" s="378"/>
      <c r="G347" s="588" t="s">
        <v>230</v>
      </c>
      <c r="H347" s="949" t="e">
        <f t="shared" ca="1" si="24"/>
        <v>#VALUE!</v>
      </c>
      <c r="I347" s="740" t="str">
        <f t="shared" ca="1" si="20"/>
        <v/>
      </c>
      <c r="J347" s="740" t="str">
        <f t="shared" ca="1" si="21"/>
        <v/>
      </c>
      <c r="K347" s="740" t="str">
        <f t="shared" ca="1" si="22"/>
        <v/>
      </c>
      <c r="L347" s="740" t="str">
        <f t="shared" ca="1" si="23"/>
        <v/>
      </c>
      <c r="M347" s="264"/>
      <c r="N347" s="277"/>
      <c r="O347" s="278"/>
    </row>
    <row r="348" spans="1:15" ht="13.95" customHeight="1" x14ac:dyDescent="0.25">
      <c r="A348" s="169"/>
      <c r="B348" s="273"/>
      <c r="C348" s="378"/>
      <c r="D348" s="588" t="s">
        <v>231</v>
      </c>
      <c r="E348" s="952" t="e">
        <f ca="1">VLOOKUP($D348,Data!$C$2:$H$370,6,FALSE)</f>
        <v>#VALUE!</v>
      </c>
      <c r="F348" s="378"/>
      <c r="G348" s="588" t="s">
        <v>231</v>
      </c>
      <c r="H348" s="949" t="e">
        <f t="shared" ca="1" si="24"/>
        <v>#VALUE!</v>
      </c>
      <c r="I348" s="740" t="str">
        <f t="shared" ca="1" si="20"/>
        <v/>
      </c>
      <c r="J348" s="740" t="str">
        <f t="shared" ca="1" si="21"/>
        <v/>
      </c>
      <c r="K348" s="740" t="str">
        <f t="shared" ca="1" si="22"/>
        <v/>
      </c>
      <c r="L348" s="740" t="str">
        <f t="shared" ca="1" si="23"/>
        <v/>
      </c>
      <c r="M348" s="264"/>
      <c r="N348" s="277"/>
      <c r="O348" s="278"/>
    </row>
    <row r="349" spans="1:15" ht="13.95" customHeight="1" x14ac:dyDescent="0.25">
      <c r="A349" s="169"/>
      <c r="B349" s="273"/>
      <c r="C349" s="378"/>
      <c r="D349" s="588" t="s">
        <v>232</v>
      </c>
      <c r="E349" s="952" t="e">
        <f ca="1">VLOOKUP($D349,Data!$C$2:$H$370,6,FALSE)</f>
        <v>#VALUE!</v>
      </c>
      <c r="F349" s="378"/>
      <c r="G349" s="588" t="s">
        <v>232</v>
      </c>
      <c r="H349" s="949" t="e">
        <f t="shared" ca="1" si="24"/>
        <v>#VALUE!</v>
      </c>
      <c r="I349" s="740" t="str">
        <f t="shared" ca="1" si="20"/>
        <v/>
      </c>
      <c r="J349" s="740" t="str">
        <f t="shared" ca="1" si="21"/>
        <v/>
      </c>
      <c r="K349" s="740" t="str">
        <f t="shared" ca="1" si="22"/>
        <v/>
      </c>
      <c r="L349" s="740" t="str">
        <f t="shared" ca="1" si="23"/>
        <v/>
      </c>
      <c r="M349" s="264"/>
      <c r="N349" s="277"/>
      <c r="O349" s="278"/>
    </row>
    <row r="350" spans="1:15" ht="13.95" customHeight="1" x14ac:dyDescent="0.25">
      <c r="A350" s="169"/>
      <c r="B350" s="273"/>
      <c r="C350" s="378"/>
      <c r="D350" s="588" t="s">
        <v>233</v>
      </c>
      <c r="E350" s="952" t="e">
        <f ca="1">VLOOKUP($D350,Data!$C$2:$H$370,6,FALSE)</f>
        <v>#VALUE!</v>
      </c>
      <c r="F350" s="378"/>
      <c r="G350" s="588" t="s">
        <v>233</v>
      </c>
      <c r="H350" s="949" t="e">
        <f t="shared" ca="1" si="24"/>
        <v>#VALUE!</v>
      </c>
      <c r="I350" s="740" t="str">
        <f t="shared" ca="1" si="20"/>
        <v/>
      </c>
      <c r="J350" s="740" t="str">
        <f t="shared" ca="1" si="21"/>
        <v/>
      </c>
      <c r="K350" s="740" t="str">
        <f t="shared" ca="1" si="22"/>
        <v/>
      </c>
      <c r="L350" s="740" t="str">
        <f t="shared" ca="1" si="23"/>
        <v/>
      </c>
      <c r="M350" s="264"/>
      <c r="N350" s="277"/>
      <c r="O350" s="278"/>
    </row>
    <row r="351" spans="1:15" ht="13.95" customHeight="1" x14ac:dyDescent="0.25">
      <c r="A351" s="169"/>
      <c r="B351" s="273"/>
      <c r="C351" s="378"/>
      <c r="D351" s="588" t="s">
        <v>234</v>
      </c>
      <c r="E351" s="952" t="e">
        <f ca="1">VLOOKUP($D351,Data!$C$2:$H$370,6,FALSE)</f>
        <v>#VALUE!</v>
      </c>
      <c r="F351" s="378"/>
      <c r="G351" s="588" t="s">
        <v>234</v>
      </c>
      <c r="H351" s="949" t="e">
        <f t="shared" ca="1" si="24"/>
        <v>#VALUE!</v>
      </c>
      <c r="I351" s="740" t="str">
        <f t="shared" ca="1" si="20"/>
        <v/>
      </c>
      <c r="J351" s="740" t="str">
        <f t="shared" ca="1" si="21"/>
        <v/>
      </c>
      <c r="K351" s="740" t="str">
        <f t="shared" ca="1" si="22"/>
        <v/>
      </c>
      <c r="L351" s="740" t="str">
        <f t="shared" ca="1" si="23"/>
        <v/>
      </c>
      <c r="M351" s="264"/>
      <c r="N351" s="277"/>
      <c r="O351" s="278"/>
    </row>
    <row r="352" spans="1:15" ht="13.95" customHeight="1" x14ac:dyDescent="0.25">
      <c r="A352" s="169"/>
      <c r="B352" s="273"/>
      <c r="C352" s="378"/>
      <c r="D352" s="588" t="s">
        <v>235</v>
      </c>
      <c r="E352" s="952" t="e">
        <f ca="1">VLOOKUP($D352,Data!$C$2:$H$370,6,FALSE)</f>
        <v>#VALUE!</v>
      </c>
      <c r="F352" s="378"/>
      <c r="G352" s="588" t="s">
        <v>235</v>
      </c>
      <c r="H352" s="949" t="e">
        <f t="shared" ca="1" si="24"/>
        <v>#VALUE!</v>
      </c>
      <c r="I352" s="740" t="str">
        <f t="shared" ca="1" si="20"/>
        <v/>
      </c>
      <c r="J352" s="740" t="str">
        <f t="shared" ca="1" si="21"/>
        <v/>
      </c>
      <c r="K352" s="740" t="str">
        <f t="shared" ca="1" si="22"/>
        <v/>
      </c>
      <c r="L352" s="740" t="str">
        <f t="shared" ca="1" si="23"/>
        <v/>
      </c>
      <c r="M352" s="264"/>
      <c r="N352" s="277"/>
      <c r="O352" s="278"/>
    </row>
    <row r="353" spans="1:15" ht="13.95" customHeight="1" x14ac:dyDescent="0.25">
      <c r="A353" s="169"/>
      <c r="B353" s="273"/>
      <c r="C353" s="378"/>
      <c r="D353" s="588" t="s">
        <v>236</v>
      </c>
      <c r="E353" s="952" t="e">
        <f ca="1">VLOOKUP($D353,Data!$C$2:$H$370,6,FALSE)</f>
        <v>#VALUE!</v>
      </c>
      <c r="F353" s="378"/>
      <c r="G353" s="588" t="s">
        <v>236</v>
      </c>
      <c r="H353" s="949" t="e">
        <f t="shared" ca="1" si="24"/>
        <v>#VALUE!</v>
      </c>
      <c r="I353" s="740" t="str">
        <f t="shared" ca="1" si="20"/>
        <v/>
      </c>
      <c r="J353" s="740" t="str">
        <f t="shared" ca="1" si="21"/>
        <v/>
      </c>
      <c r="K353" s="740" t="str">
        <f t="shared" ca="1" si="22"/>
        <v/>
      </c>
      <c r="L353" s="740" t="str">
        <f t="shared" ca="1" si="23"/>
        <v/>
      </c>
      <c r="M353" s="264"/>
      <c r="N353" s="277"/>
      <c r="O353" s="278"/>
    </row>
    <row r="354" spans="1:15" ht="13.95" customHeight="1" x14ac:dyDescent="0.25">
      <c r="A354" s="169"/>
      <c r="B354" s="273"/>
      <c r="C354" s="378"/>
      <c r="D354" s="588" t="s">
        <v>237</v>
      </c>
      <c r="E354" s="952" t="e">
        <f ca="1">VLOOKUP($D354,Data!$C$2:$H$370,6,FALSE)</f>
        <v>#VALUE!</v>
      </c>
      <c r="F354" s="378"/>
      <c r="G354" s="588" t="s">
        <v>237</v>
      </c>
      <c r="H354" s="949" t="e">
        <f t="shared" ca="1" si="24"/>
        <v>#VALUE!</v>
      </c>
      <c r="I354" s="740" t="str">
        <f t="shared" ca="1" si="20"/>
        <v/>
      </c>
      <c r="J354" s="740" t="str">
        <f t="shared" ca="1" si="21"/>
        <v/>
      </c>
      <c r="K354" s="740" t="str">
        <f t="shared" ca="1" si="22"/>
        <v/>
      </c>
      <c r="L354" s="740" t="str">
        <f t="shared" ca="1" si="23"/>
        <v/>
      </c>
      <c r="M354" s="264"/>
      <c r="N354" s="277"/>
      <c r="O354" s="278"/>
    </row>
    <row r="355" spans="1:15" ht="13.95" customHeight="1" x14ac:dyDescent="0.25">
      <c r="A355" s="169"/>
      <c r="B355" s="273"/>
      <c r="C355" s="378"/>
      <c r="D355" s="588" t="s">
        <v>238</v>
      </c>
      <c r="E355" s="952" t="e">
        <f ca="1">VLOOKUP($D355,Data!$C$2:$H$370,6,FALSE)</f>
        <v>#VALUE!</v>
      </c>
      <c r="F355" s="378"/>
      <c r="G355" s="588" t="s">
        <v>238</v>
      </c>
      <c r="H355" s="949" t="e">
        <f t="shared" ca="1" si="24"/>
        <v>#VALUE!</v>
      </c>
      <c r="I355" s="740" t="str">
        <f t="shared" ca="1" si="20"/>
        <v/>
      </c>
      <c r="J355" s="740" t="str">
        <f t="shared" ca="1" si="21"/>
        <v/>
      </c>
      <c r="K355" s="740" t="str">
        <f t="shared" ca="1" si="22"/>
        <v/>
      </c>
      <c r="L355" s="740" t="str">
        <f t="shared" ca="1" si="23"/>
        <v/>
      </c>
      <c r="M355" s="264"/>
      <c r="N355" s="277"/>
      <c r="O355" s="278"/>
    </row>
    <row r="356" spans="1:15" ht="13.95" customHeight="1" x14ac:dyDescent="0.25">
      <c r="A356" s="169"/>
      <c r="B356" s="273"/>
      <c r="C356" s="378"/>
      <c r="D356" s="588" t="s">
        <v>239</v>
      </c>
      <c r="E356" s="952" t="e">
        <f ca="1">VLOOKUP($D356,Data!$C$2:$H$370,6,FALSE)</f>
        <v>#VALUE!</v>
      </c>
      <c r="F356" s="378"/>
      <c r="G356" s="588" t="s">
        <v>239</v>
      </c>
      <c r="H356" s="949" t="e">
        <f t="shared" ca="1" si="24"/>
        <v>#VALUE!</v>
      </c>
      <c r="I356" s="740" t="str">
        <f t="shared" ca="1" si="20"/>
        <v/>
      </c>
      <c r="J356" s="740" t="str">
        <f t="shared" ca="1" si="21"/>
        <v/>
      </c>
      <c r="K356" s="740" t="str">
        <f t="shared" ca="1" si="22"/>
        <v/>
      </c>
      <c r="L356" s="740" t="str">
        <f t="shared" ca="1" si="23"/>
        <v/>
      </c>
      <c r="M356" s="264"/>
      <c r="N356" s="277"/>
      <c r="O356" s="278"/>
    </row>
    <row r="357" spans="1:15" ht="13.95" customHeight="1" x14ac:dyDescent="0.25">
      <c r="A357" s="169"/>
      <c r="B357" s="273"/>
      <c r="C357" s="378"/>
      <c r="D357" s="588" t="s">
        <v>240</v>
      </c>
      <c r="E357" s="952" t="e">
        <f ca="1">VLOOKUP($D357,Data!$C$2:$H$370,6,FALSE)</f>
        <v>#VALUE!</v>
      </c>
      <c r="F357" s="378"/>
      <c r="G357" s="588" t="s">
        <v>240</v>
      </c>
      <c r="H357" s="949" t="e">
        <f t="shared" ca="1" si="24"/>
        <v>#VALUE!</v>
      </c>
      <c r="I357" s="740" t="str">
        <f t="shared" ca="1" si="20"/>
        <v/>
      </c>
      <c r="J357" s="740" t="str">
        <f t="shared" ca="1" si="21"/>
        <v/>
      </c>
      <c r="K357" s="740" t="str">
        <f t="shared" ca="1" si="22"/>
        <v/>
      </c>
      <c r="L357" s="740" t="str">
        <f t="shared" ca="1" si="23"/>
        <v/>
      </c>
      <c r="M357" s="264"/>
      <c r="N357" s="277"/>
      <c r="O357" s="278"/>
    </row>
    <row r="358" spans="1:15" ht="13.95" customHeight="1" x14ac:dyDescent="0.25">
      <c r="A358" s="169"/>
      <c r="B358" s="273"/>
      <c r="C358" s="378"/>
      <c r="D358" s="588" t="s">
        <v>241</v>
      </c>
      <c r="E358" s="952" t="e">
        <f ca="1">VLOOKUP($D358,Data!$C$2:$H$370,6,FALSE)</f>
        <v>#VALUE!</v>
      </c>
      <c r="F358" s="378"/>
      <c r="G358" s="588" t="s">
        <v>241</v>
      </c>
      <c r="H358" s="949" t="e">
        <f t="shared" ca="1" si="24"/>
        <v>#VALUE!</v>
      </c>
      <c r="I358" s="740" t="str">
        <f t="shared" ca="1" si="20"/>
        <v/>
      </c>
      <c r="J358" s="740" t="str">
        <f t="shared" ca="1" si="21"/>
        <v/>
      </c>
      <c r="K358" s="740" t="str">
        <f t="shared" ca="1" si="22"/>
        <v/>
      </c>
      <c r="L358" s="740" t="str">
        <f t="shared" ca="1" si="23"/>
        <v/>
      </c>
      <c r="M358" s="264"/>
      <c r="N358" s="277"/>
      <c r="O358" s="278"/>
    </row>
    <row r="359" spans="1:15" ht="13.95" customHeight="1" x14ac:dyDescent="0.25">
      <c r="A359" s="169"/>
      <c r="B359" s="273"/>
      <c r="C359" s="378"/>
      <c r="D359" s="588" t="s">
        <v>242</v>
      </c>
      <c r="E359" s="952" t="e">
        <f ca="1">VLOOKUP($D359,Data!$C$2:$H$370,6,FALSE)</f>
        <v>#VALUE!</v>
      </c>
      <c r="F359" s="378"/>
      <c r="G359" s="588" t="s">
        <v>242</v>
      </c>
      <c r="H359" s="949" t="e">
        <f t="shared" ca="1" si="24"/>
        <v>#VALUE!</v>
      </c>
      <c r="I359" s="740" t="str">
        <f t="shared" ca="1" si="20"/>
        <v/>
      </c>
      <c r="J359" s="740" t="str">
        <f t="shared" ca="1" si="21"/>
        <v/>
      </c>
      <c r="K359" s="740" t="str">
        <f t="shared" ca="1" si="22"/>
        <v/>
      </c>
      <c r="L359" s="740" t="str">
        <f t="shared" ca="1" si="23"/>
        <v/>
      </c>
      <c r="M359" s="264"/>
      <c r="N359" s="277"/>
      <c r="O359" s="278"/>
    </row>
    <row r="360" spans="1:15" ht="13.95" customHeight="1" x14ac:dyDescent="0.25">
      <c r="A360" s="169"/>
      <c r="B360" s="273"/>
      <c r="C360" s="378"/>
      <c r="D360" s="588" t="s">
        <v>243</v>
      </c>
      <c r="E360" s="952" t="e">
        <f ca="1">VLOOKUP($D360,Data!$C$2:$H$370,6,FALSE)</f>
        <v>#VALUE!</v>
      </c>
      <c r="F360" s="378"/>
      <c r="G360" s="588" t="s">
        <v>243</v>
      </c>
      <c r="H360" s="949" t="e">
        <f t="shared" ca="1" si="24"/>
        <v>#VALUE!</v>
      </c>
      <c r="I360" s="740" t="str">
        <f t="shared" ca="1" si="20"/>
        <v/>
      </c>
      <c r="J360" s="740" t="str">
        <f t="shared" ca="1" si="21"/>
        <v/>
      </c>
      <c r="K360" s="740" t="str">
        <f t="shared" ca="1" si="22"/>
        <v/>
      </c>
      <c r="L360" s="740" t="str">
        <f t="shared" ca="1" si="23"/>
        <v/>
      </c>
      <c r="M360" s="264"/>
      <c r="N360" s="277"/>
      <c r="O360" s="278"/>
    </row>
    <row r="361" spans="1:15" ht="13.95" customHeight="1" x14ac:dyDescent="0.25">
      <c r="A361" s="169"/>
      <c r="B361" s="273"/>
      <c r="C361" s="378"/>
      <c r="D361" s="588" t="s">
        <v>245</v>
      </c>
      <c r="E361" s="952" t="e">
        <f ca="1">VLOOKUP($D361,Data!$C$2:$H$370,6,FALSE)</f>
        <v>#VALUE!</v>
      </c>
      <c r="F361" s="378"/>
      <c r="G361" s="588" t="s">
        <v>245</v>
      </c>
      <c r="H361" s="949" t="e">
        <f t="shared" ca="1" si="24"/>
        <v>#VALUE!</v>
      </c>
      <c r="I361" s="740" t="str">
        <f t="shared" ca="1" si="20"/>
        <v/>
      </c>
      <c r="J361" s="740" t="str">
        <f t="shared" ca="1" si="21"/>
        <v/>
      </c>
      <c r="K361" s="740" t="str">
        <f t="shared" ca="1" si="22"/>
        <v/>
      </c>
      <c r="L361" s="740" t="str">
        <f t="shared" ca="1" si="23"/>
        <v/>
      </c>
      <c r="M361" s="264"/>
      <c r="N361" s="277"/>
      <c r="O361" s="278"/>
    </row>
    <row r="362" spans="1:15" ht="13.95" customHeight="1" x14ac:dyDescent="0.25">
      <c r="A362" s="169"/>
      <c r="B362" s="273"/>
      <c r="C362" s="378"/>
      <c r="D362" s="588" t="s">
        <v>246</v>
      </c>
      <c r="E362" s="952" t="e">
        <f ca="1">VLOOKUP($D362,Data!$C$2:$H$370,6,FALSE)</f>
        <v>#VALUE!</v>
      </c>
      <c r="F362" s="378"/>
      <c r="G362" s="588" t="s">
        <v>246</v>
      </c>
      <c r="H362" s="949" t="e">
        <f t="shared" ca="1" si="24"/>
        <v>#VALUE!</v>
      </c>
      <c r="I362" s="740" t="str">
        <f t="shared" ca="1" si="20"/>
        <v/>
      </c>
      <c r="J362" s="740" t="str">
        <f t="shared" ca="1" si="21"/>
        <v/>
      </c>
      <c r="K362" s="740" t="str">
        <f t="shared" ca="1" si="22"/>
        <v/>
      </c>
      <c r="L362" s="740" t="str">
        <f t="shared" ca="1" si="23"/>
        <v/>
      </c>
      <c r="M362" s="264"/>
      <c r="N362" s="277"/>
      <c r="O362" s="278"/>
    </row>
    <row r="363" spans="1:15" ht="13.95" customHeight="1" x14ac:dyDescent="0.25">
      <c r="A363" s="169"/>
      <c r="B363" s="273"/>
      <c r="C363" s="378"/>
      <c r="D363" s="588" t="s">
        <v>247</v>
      </c>
      <c r="E363" s="952" t="e">
        <f ca="1">VLOOKUP($D363,Data!$C$2:$H$370,6,FALSE)</f>
        <v>#VALUE!</v>
      </c>
      <c r="F363" s="378"/>
      <c r="G363" s="588" t="s">
        <v>247</v>
      </c>
      <c r="H363" s="949" t="e">
        <f t="shared" ca="1" si="24"/>
        <v>#VALUE!</v>
      </c>
      <c r="I363" s="740" t="str">
        <f t="shared" ca="1" si="20"/>
        <v/>
      </c>
      <c r="J363" s="740" t="str">
        <f t="shared" ca="1" si="21"/>
        <v/>
      </c>
      <c r="K363" s="740" t="str">
        <f t="shared" ca="1" si="22"/>
        <v/>
      </c>
      <c r="L363" s="740" t="str">
        <f t="shared" ca="1" si="23"/>
        <v/>
      </c>
      <c r="M363" s="264"/>
      <c r="N363" s="277"/>
      <c r="O363" s="278"/>
    </row>
    <row r="364" spans="1:15" ht="13.95" customHeight="1" x14ac:dyDescent="0.25">
      <c r="A364" s="169"/>
      <c r="B364" s="273"/>
      <c r="C364" s="378"/>
      <c r="D364" s="588" t="s">
        <v>248</v>
      </c>
      <c r="E364" s="952" t="e">
        <f ca="1">VLOOKUP($D364,Data!$C$2:$H$370,6,FALSE)</f>
        <v>#VALUE!</v>
      </c>
      <c r="F364" s="378"/>
      <c r="G364" s="588" t="s">
        <v>248</v>
      </c>
      <c r="H364" s="949" t="e">
        <f t="shared" ca="1" si="24"/>
        <v>#VALUE!</v>
      </c>
      <c r="I364" s="740" t="str">
        <f t="shared" ca="1" si="20"/>
        <v/>
      </c>
      <c r="J364" s="740" t="str">
        <f t="shared" ca="1" si="21"/>
        <v/>
      </c>
      <c r="K364" s="740" t="str">
        <f t="shared" ca="1" si="22"/>
        <v/>
      </c>
      <c r="L364" s="740" t="str">
        <f t="shared" ca="1" si="23"/>
        <v/>
      </c>
      <c r="M364" s="264"/>
      <c r="N364" s="277"/>
      <c r="O364" s="278"/>
    </row>
    <row r="365" spans="1:15" ht="13.95" customHeight="1" x14ac:dyDescent="0.25">
      <c r="A365" s="169"/>
      <c r="B365" s="273"/>
      <c r="C365" s="378"/>
      <c r="D365" s="588" t="s">
        <v>249</v>
      </c>
      <c r="E365" s="952" t="e">
        <f ca="1">VLOOKUP($D365,Data!$C$2:$H$370,6,FALSE)</f>
        <v>#VALUE!</v>
      </c>
      <c r="F365" s="378"/>
      <c r="G365" s="588" t="s">
        <v>249</v>
      </c>
      <c r="H365" s="949" t="e">
        <f t="shared" ca="1" si="24"/>
        <v>#VALUE!</v>
      </c>
      <c r="I365" s="740" t="str">
        <f t="shared" ca="1" si="20"/>
        <v/>
      </c>
      <c r="J365" s="740" t="str">
        <f t="shared" ca="1" si="21"/>
        <v/>
      </c>
      <c r="K365" s="740" t="str">
        <f t="shared" ca="1" si="22"/>
        <v/>
      </c>
      <c r="L365" s="740" t="str">
        <f t="shared" ca="1" si="23"/>
        <v/>
      </c>
      <c r="M365" s="264"/>
      <c r="N365" s="277"/>
      <c r="O365" s="278"/>
    </row>
    <row r="366" spans="1:15" ht="13.95" customHeight="1" x14ac:dyDescent="0.25">
      <c r="A366" s="169"/>
      <c r="B366" s="273"/>
      <c r="C366" s="378"/>
      <c r="D366" s="588" t="s">
        <v>250</v>
      </c>
      <c r="E366" s="952" t="e">
        <f ca="1">VLOOKUP($D366,Data!$C$2:$H$370,6,FALSE)</f>
        <v>#VALUE!</v>
      </c>
      <c r="F366" s="378"/>
      <c r="G366" s="588" t="s">
        <v>250</v>
      </c>
      <c r="H366" s="949" t="e">
        <f t="shared" ca="1" si="24"/>
        <v>#VALUE!</v>
      </c>
      <c r="I366" s="740" t="str">
        <f t="shared" ca="1" si="20"/>
        <v/>
      </c>
      <c r="J366" s="740" t="str">
        <f t="shared" ca="1" si="21"/>
        <v/>
      </c>
      <c r="K366" s="740" t="str">
        <f t="shared" ca="1" si="22"/>
        <v/>
      </c>
      <c r="L366" s="740" t="str">
        <f t="shared" ca="1" si="23"/>
        <v/>
      </c>
      <c r="M366" s="264"/>
      <c r="N366" s="277"/>
      <c r="O366" s="278"/>
    </row>
    <row r="367" spans="1:15" ht="13.95" customHeight="1" x14ac:dyDescent="0.25">
      <c r="A367" s="169"/>
      <c r="B367" s="273"/>
      <c r="C367" s="378"/>
      <c r="D367" s="588" t="s">
        <v>1122</v>
      </c>
      <c r="E367" s="952" t="e">
        <f ca="1">VLOOKUP($D367,Data!$C$2:$H$370,6,FALSE)</f>
        <v>#VALUE!</v>
      </c>
      <c r="F367" s="378"/>
      <c r="G367" s="588" t="s">
        <v>1122</v>
      </c>
      <c r="H367" s="949" t="e">
        <f t="shared" ca="1" si="24"/>
        <v>#VALUE!</v>
      </c>
      <c r="I367" s="740" t="str">
        <f t="shared" ca="1" si="20"/>
        <v/>
      </c>
      <c r="J367" s="740" t="str">
        <f t="shared" ca="1" si="21"/>
        <v/>
      </c>
      <c r="K367" s="740" t="str">
        <f t="shared" ca="1" si="22"/>
        <v/>
      </c>
      <c r="L367" s="740" t="str">
        <f t="shared" ca="1" si="23"/>
        <v/>
      </c>
      <c r="M367" s="264"/>
      <c r="N367" s="277"/>
      <c r="O367" s="278"/>
    </row>
    <row r="368" spans="1:15" ht="13.95" customHeight="1" x14ac:dyDescent="0.25">
      <c r="A368" s="169"/>
      <c r="B368" s="273"/>
      <c r="C368" s="378"/>
      <c r="D368" s="588" t="s">
        <v>1123</v>
      </c>
      <c r="E368" s="952" t="e">
        <f ca="1">VLOOKUP($D368,Data!$C$2:$H$370,6,FALSE)</f>
        <v>#VALUE!</v>
      </c>
      <c r="F368" s="378"/>
      <c r="G368" s="588" t="s">
        <v>1123</v>
      </c>
      <c r="H368" s="949" t="e">
        <f t="shared" ca="1" si="24"/>
        <v>#VALUE!</v>
      </c>
      <c r="I368" s="740" t="str">
        <f t="shared" ca="1" si="20"/>
        <v/>
      </c>
      <c r="J368" s="740" t="str">
        <f t="shared" ca="1" si="21"/>
        <v/>
      </c>
      <c r="K368" s="740" t="str">
        <f t="shared" ca="1" si="22"/>
        <v/>
      </c>
      <c r="L368" s="740" t="str">
        <f t="shared" ca="1" si="23"/>
        <v/>
      </c>
      <c r="M368" s="264"/>
      <c r="N368" s="277"/>
      <c r="O368" s="278"/>
    </row>
    <row r="369" spans="1:15" ht="13.95" customHeight="1" x14ac:dyDescent="0.25">
      <c r="A369" s="169"/>
      <c r="B369" s="273"/>
      <c r="C369" s="378"/>
      <c r="D369" s="588" t="s">
        <v>1124</v>
      </c>
      <c r="E369" s="952" t="e">
        <f ca="1">VLOOKUP($D369,Data!$C$2:$H$370,6,FALSE)</f>
        <v>#VALUE!</v>
      </c>
      <c r="F369" s="378"/>
      <c r="G369" s="588" t="s">
        <v>1124</v>
      </c>
      <c r="H369" s="949" t="e">
        <f t="shared" ca="1" si="24"/>
        <v>#VALUE!</v>
      </c>
      <c r="I369" s="740" t="str">
        <f t="shared" ca="1" si="20"/>
        <v/>
      </c>
      <c r="J369" s="740" t="str">
        <f t="shared" ca="1" si="21"/>
        <v/>
      </c>
      <c r="K369" s="740" t="str">
        <f t="shared" ca="1" si="22"/>
        <v/>
      </c>
      <c r="L369" s="740" t="str">
        <f t="shared" ca="1" si="23"/>
        <v/>
      </c>
      <c r="M369" s="264"/>
      <c r="N369" s="277"/>
      <c r="O369" s="278"/>
    </row>
    <row r="370" spans="1:15" ht="13.95" customHeight="1" x14ac:dyDescent="0.25">
      <c r="A370" s="169"/>
      <c r="B370" s="273"/>
      <c r="C370" s="378"/>
      <c r="D370" s="588" t="s">
        <v>1125</v>
      </c>
      <c r="E370" s="952" t="e">
        <f ca="1">VLOOKUP($D370,Data!$C$2:$H$370,6,FALSE)</f>
        <v>#VALUE!</v>
      </c>
      <c r="F370" s="378"/>
      <c r="G370" s="588" t="s">
        <v>1125</v>
      </c>
      <c r="H370" s="949" t="e">
        <f t="shared" ca="1" si="24"/>
        <v>#VALUE!</v>
      </c>
      <c r="I370" s="740" t="str">
        <f t="shared" ca="1" si="20"/>
        <v/>
      </c>
      <c r="J370" s="740" t="str">
        <f t="shared" ca="1" si="21"/>
        <v/>
      </c>
      <c r="K370" s="740" t="str">
        <f t="shared" ca="1" si="22"/>
        <v/>
      </c>
      <c r="L370" s="740" t="str">
        <f t="shared" ca="1" si="23"/>
        <v/>
      </c>
      <c r="M370" s="264"/>
      <c r="N370" s="277"/>
      <c r="O370" s="278"/>
    </row>
    <row r="371" spans="1:15" ht="13.95" customHeight="1" x14ac:dyDescent="0.25">
      <c r="A371" s="169"/>
      <c r="B371" s="273"/>
      <c r="C371" s="378"/>
      <c r="D371" s="588" t="s">
        <v>1126</v>
      </c>
      <c r="E371" s="952" t="e">
        <f ca="1">VLOOKUP($D371,Data!$C$2:$H$370,6,FALSE)</f>
        <v>#VALUE!</v>
      </c>
      <c r="F371" s="378"/>
      <c r="G371" s="588" t="s">
        <v>1126</v>
      </c>
      <c r="H371" s="949" t="e">
        <f t="shared" ca="1" si="24"/>
        <v>#VALUE!</v>
      </c>
      <c r="I371" s="740" t="str">
        <f t="shared" ca="1" si="20"/>
        <v/>
      </c>
      <c r="J371" s="740" t="str">
        <f t="shared" ca="1" si="21"/>
        <v/>
      </c>
      <c r="K371" s="740" t="str">
        <f t="shared" ca="1" si="22"/>
        <v/>
      </c>
      <c r="L371" s="740" t="str">
        <f t="shared" ca="1" si="23"/>
        <v/>
      </c>
      <c r="M371" s="264"/>
      <c r="N371" s="277"/>
      <c r="O371" s="278"/>
    </row>
    <row r="372" spans="1:15" ht="13.95" customHeight="1" x14ac:dyDescent="0.25">
      <c r="A372" s="169"/>
      <c r="B372" s="273"/>
      <c r="C372" s="378"/>
      <c r="D372" s="588" t="s">
        <v>1128</v>
      </c>
      <c r="E372" s="952" t="e">
        <f ca="1">VLOOKUP($D372,Data!$C$2:$H$370,6,FALSE)</f>
        <v>#VALUE!</v>
      </c>
      <c r="F372" s="378"/>
      <c r="G372" s="588" t="s">
        <v>1128</v>
      </c>
      <c r="H372" s="949" t="e">
        <f t="shared" ca="1" si="24"/>
        <v>#VALUE!</v>
      </c>
      <c r="I372" s="740" t="str">
        <f t="shared" ca="1" si="20"/>
        <v/>
      </c>
      <c r="J372" s="740" t="str">
        <f t="shared" ca="1" si="21"/>
        <v/>
      </c>
      <c r="K372" s="740" t="str">
        <f t="shared" ca="1" si="22"/>
        <v/>
      </c>
      <c r="L372" s="740" t="str">
        <f t="shared" ca="1" si="23"/>
        <v/>
      </c>
      <c r="M372" s="264"/>
      <c r="N372" s="277"/>
      <c r="O372" s="278"/>
    </row>
    <row r="373" spans="1:15" ht="13.95" customHeight="1" x14ac:dyDescent="0.25">
      <c r="A373" s="169"/>
      <c r="B373" s="273"/>
      <c r="C373" s="378"/>
      <c r="D373" s="588" t="s">
        <v>1129</v>
      </c>
      <c r="E373" s="952" t="e">
        <f ca="1">VLOOKUP($D373,Data!$C$2:$H$370,6,FALSE)</f>
        <v>#VALUE!</v>
      </c>
      <c r="F373" s="378"/>
      <c r="G373" s="588" t="s">
        <v>1129</v>
      </c>
      <c r="H373" s="949" t="e">
        <f t="shared" ca="1" si="24"/>
        <v>#VALUE!</v>
      </c>
      <c r="I373" s="740" t="str">
        <f t="shared" ca="1" si="20"/>
        <v/>
      </c>
      <c r="J373" s="740" t="str">
        <f t="shared" ca="1" si="21"/>
        <v/>
      </c>
      <c r="K373" s="740" t="str">
        <f t="shared" ca="1" si="22"/>
        <v/>
      </c>
      <c r="L373" s="740" t="str">
        <f t="shared" ca="1" si="23"/>
        <v/>
      </c>
      <c r="M373" s="264"/>
      <c r="N373" s="277"/>
      <c r="O373" s="278"/>
    </row>
    <row r="374" spans="1:15" ht="13.95" customHeight="1" x14ac:dyDescent="0.25">
      <c r="A374" s="169"/>
      <c r="B374" s="273"/>
      <c r="C374" s="378"/>
      <c r="D374" s="588" t="s">
        <v>1130</v>
      </c>
      <c r="E374" s="952" t="e">
        <f ca="1">VLOOKUP($D374,Data!$C$2:$H$370,6,FALSE)</f>
        <v>#VALUE!</v>
      </c>
      <c r="F374" s="378"/>
      <c r="G374" s="588" t="s">
        <v>1130</v>
      </c>
      <c r="H374" s="949" t="e">
        <f t="shared" ca="1" si="24"/>
        <v>#VALUE!</v>
      </c>
      <c r="I374" s="740" t="str">
        <f t="shared" ca="1" si="20"/>
        <v/>
      </c>
      <c r="J374" s="740" t="str">
        <f t="shared" ca="1" si="21"/>
        <v/>
      </c>
      <c r="K374" s="740" t="str">
        <f t="shared" ca="1" si="22"/>
        <v/>
      </c>
      <c r="L374" s="740" t="str">
        <f t="shared" ca="1" si="23"/>
        <v/>
      </c>
      <c r="M374" s="264"/>
      <c r="N374" s="277"/>
      <c r="O374" s="278"/>
    </row>
    <row r="375" spans="1:15" ht="13.95" customHeight="1" x14ac:dyDescent="0.25">
      <c r="A375" s="169"/>
      <c r="B375" s="273"/>
      <c r="C375" s="378"/>
      <c r="D375" s="588" t="s">
        <v>1131</v>
      </c>
      <c r="E375" s="952" t="e">
        <f ca="1">VLOOKUP($D375,Data!$C$2:$H$370,6,FALSE)</f>
        <v>#VALUE!</v>
      </c>
      <c r="F375" s="378"/>
      <c r="G375" s="588" t="s">
        <v>1131</v>
      </c>
      <c r="H375" s="949" t="e">
        <f t="shared" ca="1" si="24"/>
        <v>#VALUE!</v>
      </c>
      <c r="I375" s="740" t="str">
        <f t="shared" ca="1" si="20"/>
        <v/>
      </c>
      <c r="J375" s="740" t="str">
        <f t="shared" ca="1" si="21"/>
        <v/>
      </c>
      <c r="K375" s="740" t="str">
        <f t="shared" ca="1" si="22"/>
        <v/>
      </c>
      <c r="L375" s="740" t="str">
        <f t="shared" ca="1" si="23"/>
        <v/>
      </c>
      <c r="M375" s="264"/>
      <c r="N375" s="277"/>
      <c r="O375" s="278"/>
    </row>
    <row r="376" spans="1:15" ht="13.95" customHeight="1" x14ac:dyDescent="0.25">
      <c r="A376" s="169"/>
      <c r="B376" s="273"/>
      <c r="C376" s="378"/>
      <c r="D376" s="588" t="s">
        <v>1132</v>
      </c>
      <c r="E376" s="952" t="e">
        <f ca="1">VLOOKUP($D376,Data!$C$2:$H$370,6,FALSE)</f>
        <v>#VALUE!</v>
      </c>
      <c r="F376" s="378"/>
      <c r="G376" s="588" t="s">
        <v>1132</v>
      </c>
      <c r="H376" s="949" t="e">
        <f t="shared" ca="1" si="24"/>
        <v>#VALUE!</v>
      </c>
      <c r="I376" s="740" t="str">
        <f t="shared" ca="1" si="20"/>
        <v/>
      </c>
      <c r="J376" s="740" t="str">
        <f t="shared" ca="1" si="21"/>
        <v/>
      </c>
      <c r="K376" s="740" t="str">
        <f t="shared" ca="1" si="22"/>
        <v/>
      </c>
      <c r="L376" s="740" t="str">
        <f t="shared" ca="1" si="23"/>
        <v/>
      </c>
      <c r="M376" s="264"/>
      <c r="N376" s="277"/>
      <c r="O376" s="278"/>
    </row>
    <row r="377" spans="1:15" ht="13.95" customHeight="1" x14ac:dyDescent="0.25">
      <c r="A377" s="169"/>
      <c r="B377" s="273"/>
      <c r="C377" s="378"/>
      <c r="D377" s="588" t="s">
        <v>1133</v>
      </c>
      <c r="E377" s="952" t="e">
        <f ca="1">VLOOKUP($D377,Data!$C$2:$H$370,6,FALSE)</f>
        <v>#VALUE!</v>
      </c>
      <c r="F377" s="378"/>
      <c r="G377" s="588" t="s">
        <v>1133</v>
      </c>
      <c r="H377" s="949" t="e">
        <f t="shared" ca="1" si="24"/>
        <v>#VALUE!</v>
      </c>
      <c r="I377" s="740" t="str">
        <f t="shared" ca="1" si="20"/>
        <v/>
      </c>
      <c r="J377" s="740" t="str">
        <f t="shared" ca="1" si="21"/>
        <v/>
      </c>
      <c r="K377" s="740" t="str">
        <f t="shared" ca="1" si="22"/>
        <v/>
      </c>
      <c r="L377" s="740" t="str">
        <f t="shared" ca="1" si="23"/>
        <v/>
      </c>
      <c r="M377" s="264"/>
      <c r="N377" s="277"/>
      <c r="O377" s="278"/>
    </row>
    <row r="378" spans="1:15" ht="13.95" customHeight="1" x14ac:dyDescent="0.25">
      <c r="A378" s="169"/>
      <c r="B378" s="273"/>
      <c r="C378" s="378"/>
      <c r="D378" s="588" t="s">
        <v>1134</v>
      </c>
      <c r="E378" s="952" t="e">
        <f ca="1">VLOOKUP($D378,Data!$C$2:$H$370,6,FALSE)</f>
        <v>#VALUE!</v>
      </c>
      <c r="F378" s="378"/>
      <c r="G378" s="588" t="s">
        <v>1134</v>
      </c>
      <c r="H378" s="949" t="e">
        <f t="shared" ca="1" si="24"/>
        <v>#VALUE!</v>
      </c>
      <c r="I378" s="740" t="str">
        <f t="shared" ca="1" si="20"/>
        <v/>
      </c>
      <c r="J378" s="740" t="str">
        <f t="shared" ca="1" si="21"/>
        <v/>
      </c>
      <c r="K378" s="740" t="str">
        <f t="shared" ca="1" si="22"/>
        <v/>
      </c>
      <c r="L378" s="740" t="str">
        <f t="shared" ca="1" si="23"/>
        <v/>
      </c>
      <c r="M378" s="264"/>
      <c r="N378" s="277"/>
      <c r="O378" s="278"/>
    </row>
    <row r="379" spans="1:15" ht="13.95" customHeight="1" x14ac:dyDescent="0.25">
      <c r="A379" s="169"/>
      <c r="B379" s="273"/>
      <c r="C379" s="378"/>
      <c r="D379" s="588" t="s">
        <v>1135</v>
      </c>
      <c r="E379" s="952" t="e">
        <f ca="1">VLOOKUP($D379,Data!$C$2:$H$370,6,FALSE)</f>
        <v>#VALUE!</v>
      </c>
      <c r="F379" s="378"/>
      <c r="G379" s="588" t="s">
        <v>1135</v>
      </c>
      <c r="H379" s="949" t="e">
        <f t="shared" ca="1" si="24"/>
        <v>#VALUE!</v>
      </c>
      <c r="I379" s="740" t="str">
        <f t="shared" ca="1" si="20"/>
        <v/>
      </c>
      <c r="J379" s="740" t="str">
        <f t="shared" ca="1" si="21"/>
        <v/>
      </c>
      <c r="K379" s="740" t="str">
        <f t="shared" ca="1" si="22"/>
        <v/>
      </c>
      <c r="L379" s="740" t="str">
        <f t="shared" ca="1" si="23"/>
        <v/>
      </c>
      <c r="M379" s="264"/>
      <c r="N379" s="277"/>
      <c r="O379" s="278"/>
    </row>
    <row r="380" spans="1:15" ht="13.95" customHeight="1" x14ac:dyDescent="0.25">
      <c r="A380" s="169"/>
      <c r="B380" s="273"/>
      <c r="C380" s="378"/>
      <c r="D380" s="588" t="s">
        <v>1136</v>
      </c>
      <c r="E380" s="952" t="e">
        <f ca="1">VLOOKUP($D380,Data!$C$2:$H$370,6,FALSE)</f>
        <v>#VALUE!</v>
      </c>
      <c r="F380" s="378"/>
      <c r="G380" s="588" t="s">
        <v>1136</v>
      </c>
      <c r="H380" s="949" t="e">
        <f t="shared" ca="1" si="24"/>
        <v>#VALUE!</v>
      </c>
      <c r="I380" s="740" t="str">
        <f t="shared" ca="1" si="20"/>
        <v/>
      </c>
      <c r="J380" s="740" t="str">
        <f t="shared" ca="1" si="21"/>
        <v/>
      </c>
      <c r="K380" s="740" t="str">
        <f t="shared" ca="1" si="22"/>
        <v/>
      </c>
      <c r="L380" s="740" t="str">
        <f t="shared" ca="1" si="23"/>
        <v/>
      </c>
      <c r="M380" s="264"/>
      <c r="N380" s="277"/>
      <c r="O380" s="278"/>
    </row>
    <row r="381" spans="1:15" ht="13.95" customHeight="1" x14ac:dyDescent="0.25">
      <c r="A381" s="169"/>
      <c r="B381" s="273"/>
      <c r="C381" s="378"/>
      <c r="D381" s="588" t="s">
        <v>1137</v>
      </c>
      <c r="E381" s="952" t="e">
        <f ca="1">VLOOKUP($D381,Data!$C$2:$H$370,6,FALSE)</f>
        <v>#VALUE!</v>
      </c>
      <c r="F381" s="378"/>
      <c r="G381" s="588" t="s">
        <v>1137</v>
      </c>
      <c r="H381" s="949" t="e">
        <f t="shared" ca="1" si="24"/>
        <v>#VALUE!</v>
      </c>
      <c r="I381" s="740" t="str">
        <f t="shared" ca="1" si="20"/>
        <v/>
      </c>
      <c r="J381" s="740" t="str">
        <f t="shared" ca="1" si="21"/>
        <v/>
      </c>
      <c r="K381" s="740" t="str">
        <f t="shared" ca="1" si="22"/>
        <v/>
      </c>
      <c r="L381" s="740" t="str">
        <f t="shared" ca="1" si="23"/>
        <v/>
      </c>
      <c r="M381" s="264"/>
      <c r="N381" s="277"/>
      <c r="O381" s="278"/>
    </row>
    <row r="382" spans="1:15" ht="13.95" customHeight="1" x14ac:dyDescent="0.25">
      <c r="A382" s="169"/>
      <c r="B382" s="273"/>
      <c r="C382" s="378"/>
      <c r="D382" s="588" t="s">
        <v>1138</v>
      </c>
      <c r="E382" s="952" t="e">
        <f ca="1">VLOOKUP($D382,Data!$C$2:$H$370,6,FALSE)</f>
        <v>#VALUE!</v>
      </c>
      <c r="F382" s="378"/>
      <c r="G382" s="588" t="s">
        <v>1138</v>
      </c>
      <c r="H382" s="949" t="e">
        <f t="shared" ca="1" si="24"/>
        <v>#VALUE!</v>
      </c>
      <c r="I382" s="740" t="str">
        <f t="shared" ca="1" si="20"/>
        <v/>
      </c>
      <c r="J382" s="740" t="str">
        <f t="shared" ca="1" si="21"/>
        <v/>
      </c>
      <c r="K382" s="740" t="str">
        <f t="shared" ca="1" si="22"/>
        <v/>
      </c>
      <c r="L382" s="740" t="str">
        <f t="shared" ca="1" si="23"/>
        <v/>
      </c>
      <c r="M382" s="264"/>
      <c r="N382" s="277"/>
      <c r="O382" s="278"/>
    </row>
    <row r="383" spans="1:15" ht="13.95" customHeight="1" x14ac:dyDescent="0.25">
      <c r="A383" s="169"/>
      <c r="B383" s="273"/>
      <c r="C383" s="378"/>
      <c r="D383" s="588" t="s">
        <v>1139</v>
      </c>
      <c r="E383" s="952" t="e">
        <f ca="1">VLOOKUP($D383,Data!$C$2:$H$370,6,FALSE)</f>
        <v>#VALUE!</v>
      </c>
      <c r="F383" s="378"/>
      <c r="G383" s="588" t="s">
        <v>1139</v>
      </c>
      <c r="H383" s="949" t="e">
        <f t="shared" ca="1" si="24"/>
        <v>#VALUE!</v>
      </c>
      <c r="I383" s="740" t="str">
        <f t="shared" ca="1" si="20"/>
        <v/>
      </c>
      <c r="J383" s="740" t="str">
        <f t="shared" ca="1" si="21"/>
        <v/>
      </c>
      <c r="K383" s="740" t="str">
        <f t="shared" ca="1" si="22"/>
        <v/>
      </c>
      <c r="L383" s="740" t="str">
        <f t="shared" ca="1" si="23"/>
        <v/>
      </c>
      <c r="M383" s="264"/>
      <c r="N383" s="277"/>
      <c r="O383" s="278"/>
    </row>
    <row r="384" spans="1:15" ht="13.95" customHeight="1" x14ac:dyDescent="0.25">
      <c r="A384" s="169"/>
      <c r="B384" s="273"/>
      <c r="C384" s="378"/>
      <c r="D384" s="588" t="s">
        <v>1140</v>
      </c>
      <c r="E384" s="952" t="e">
        <f ca="1">VLOOKUP($D384,Data!$C$2:$H$370,6,FALSE)</f>
        <v>#VALUE!</v>
      </c>
      <c r="F384" s="378"/>
      <c r="G384" s="588" t="s">
        <v>1140</v>
      </c>
      <c r="H384" s="949" t="e">
        <f t="shared" ca="1" si="24"/>
        <v>#VALUE!</v>
      </c>
      <c r="I384" s="740" t="str">
        <f t="shared" ca="1" si="20"/>
        <v/>
      </c>
      <c r="J384" s="740" t="str">
        <f t="shared" ca="1" si="21"/>
        <v/>
      </c>
      <c r="K384" s="740" t="str">
        <f t="shared" ca="1" si="22"/>
        <v/>
      </c>
      <c r="L384" s="740" t="str">
        <f t="shared" ca="1" si="23"/>
        <v/>
      </c>
      <c r="M384" s="264"/>
      <c r="N384" s="277"/>
      <c r="O384" s="278"/>
    </row>
    <row r="385" spans="1:15" ht="13.95" customHeight="1" x14ac:dyDescent="0.25">
      <c r="A385" s="169"/>
      <c r="B385" s="273"/>
      <c r="C385" s="378"/>
      <c r="D385" s="588" t="s">
        <v>1141</v>
      </c>
      <c r="E385" s="952" t="e">
        <f ca="1">VLOOKUP($D385,Data!$C$2:$H$370,6,FALSE)</f>
        <v>#VALUE!</v>
      </c>
      <c r="F385" s="378"/>
      <c r="G385" s="588" t="s">
        <v>1141</v>
      </c>
      <c r="H385" s="949" t="e">
        <f t="shared" ca="1" si="24"/>
        <v>#VALUE!</v>
      </c>
      <c r="I385" s="740" t="str">
        <f t="shared" ca="1" si="20"/>
        <v/>
      </c>
      <c r="J385" s="740" t="str">
        <f t="shared" ca="1" si="21"/>
        <v/>
      </c>
      <c r="K385" s="740" t="str">
        <f t="shared" ca="1" si="22"/>
        <v/>
      </c>
      <c r="L385" s="740" t="str">
        <f t="shared" ca="1" si="23"/>
        <v/>
      </c>
      <c r="M385" s="264"/>
      <c r="N385" s="277"/>
      <c r="O385" s="278"/>
    </row>
    <row r="386" spans="1:15" ht="13.95" customHeight="1" x14ac:dyDescent="0.25">
      <c r="A386" s="169"/>
      <c r="B386" s="273"/>
      <c r="C386" s="378"/>
      <c r="D386" s="588" t="s">
        <v>1142</v>
      </c>
      <c r="E386" s="952" t="e">
        <f ca="1">VLOOKUP($D386,Data!$C$2:$H$370,6,FALSE)</f>
        <v>#VALUE!</v>
      </c>
      <c r="F386" s="378"/>
      <c r="G386" s="588" t="s">
        <v>1142</v>
      </c>
      <c r="H386" s="949" t="e">
        <f t="shared" ca="1" si="24"/>
        <v>#VALUE!</v>
      </c>
      <c r="I386" s="740" t="str">
        <f t="shared" ca="1" si="20"/>
        <v/>
      </c>
      <c r="J386" s="740" t="str">
        <f t="shared" ca="1" si="21"/>
        <v/>
      </c>
      <c r="K386" s="740" t="str">
        <f t="shared" ca="1" si="22"/>
        <v/>
      </c>
      <c r="L386" s="740" t="str">
        <f t="shared" ca="1" si="23"/>
        <v/>
      </c>
      <c r="M386" s="264"/>
      <c r="N386" s="277"/>
      <c r="O386" s="278"/>
    </row>
    <row r="387" spans="1:15" ht="13.95" customHeight="1" x14ac:dyDescent="0.25">
      <c r="A387" s="169"/>
      <c r="B387" s="273"/>
      <c r="C387" s="378"/>
      <c r="D387" s="588" t="s">
        <v>1143</v>
      </c>
      <c r="E387" s="952" t="e">
        <f ca="1">VLOOKUP($D387,Data!$C$2:$H$370,6,FALSE)</f>
        <v>#VALUE!</v>
      </c>
      <c r="F387" s="378"/>
      <c r="G387" s="588" t="s">
        <v>1143</v>
      </c>
      <c r="H387" s="949" t="e">
        <f t="shared" ca="1" si="24"/>
        <v>#VALUE!</v>
      </c>
      <c r="I387" s="740" t="str">
        <f t="shared" ca="1" si="20"/>
        <v/>
      </c>
      <c r="J387" s="740" t="str">
        <f t="shared" ca="1" si="21"/>
        <v/>
      </c>
      <c r="K387" s="740" t="str">
        <f t="shared" ca="1" si="22"/>
        <v/>
      </c>
      <c r="L387" s="740" t="str">
        <f t="shared" ca="1" si="23"/>
        <v/>
      </c>
      <c r="M387" s="264"/>
      <c r="N387" s="277"/>
      <c r="O387" s="278"/>
    </row>
    <row r="388" spans="1:15" ht="13.95" customHeight="1" x14ac:dyDescent="0.25">
      <c r="A388" s="169"/>
      <c r="B388" s="273"/>
      <c r="C388" s="378"/>
      <c r="D388" s="588" t="s">
        <v>1144</v>
      </c>
      <c r="E388" s="952" t="e">
        <f ca="1">VLOOKUP($D388,Data!$C$2:$H$370,6,FALSE)</f>
        <v>#VALUE!</v>
      </c>
      <c r="F388" s="378"/>
      <c r="G388" s="588" t="s">
        <v>1144</v>
      </c>
      <c r="H388" s="949" t="e">
        <f t="shared" ca="1" si="24"/>
        <v>#VALUE!</v>
      </c>
      <c r="I388" s="740" t="str">
        <f t="shared" ca="1" si="20"/>
        <v/>
      </c>
      <c r="J388" s="740" t="str">
        <f t="shared" ca="1" si="21"/>
        <v/>
      </c>
      <c r="K388" s="740" t="str">
        <f t="shared" ca="1" si="22"/>
        <v/>
      </c>
      <c r="L388" s="740" t="str">
        <f t="shared" ca="1" si="23"/>
        <v/>
      </c>
      <c r="M388" s="264"/>
      <c r="N388" s="277"/>
      <c r="O388" s="278"/>
    </row>
    <row r="389" spans="1:15" ht="13.95" customHeight="1" x14ac:dyDescent="0.25">
      <c r="A389" s="169"/>
      <c r="B389" s="273"/>
      <c r="C389" s="378"/>
      <c r="D389" s="588" t="s">
        <v>183</v>
      </c>
      <c r="E389" s="952" t="e">
        <f ca="1">VLOOKUP($D389,Data!$C$2:$H$370,6,FALSE)</f>
        <v>#VALUE!</v>
      </c>
      <c r="F389" s="378"/>
      <c r="G389" s="588" t="s">
        <v>183</v>
      </c>
      <c r="H389" s="949" t="e">
        <f t="shared" ca="1" si="24"/>
        <v>#VALUE!</v>
      </c>
      <c r="I389" s="740" t="str">
        <f t="shared" ca="1" si="20"/>
        <v/>
      </c>
      <c r="J389" s="740" t="str">
        <f t="shared" ca="1" si="21"/>
        <v/>
      </c>
      <c r="K389" s="740" t="str">
        <f t="shared" ca="1" si="22"/>
        <v/>
      </c>
      <c r="L389" s="740" t="str">
        <f t="shared" ca="1" si="23"/>
        <v/>
      </c>
      <c r="M389" s="264"/>
      <c r="N389" s="277"/>
      <c r="O389" s="278"/>
    </row>
    <row r="390" spans="1:15" ht="13.95" customHeight="1" x14ac:dyDescent="0.25">
      <c r="A390" s="169"/>
      <c r="B390" s="273"/>
      <c r="C390" s="378"/>
      <c r="D390" s="588" t="s">
        <v>184</v>
      </c>
      <c r="E390" s="952" t="e">
        <f ca="1">VLOOKUP($D390,Data!$C$2:$H$370,6,FALSE)</f>
        <v>#VALUE!</v>
      </c>
      <c r="F390" s="378"/>
      <c r="G390" s="588" t="s">
        <v>184</v>
      </c>
      <c r="H390" s="949" t="e">
        <f t="shared" ca="1" si="24"/>
        <v>#VALUE!</v>
      </c>
      <c r="I390" s="740" t="str">
        <f t="shared" ca="1" si="20"/>
        <v/>
      </c>
      <c r="J390" s="740" t="str">
        <f t="shared" ca="1" si="21"/>
        <v/>
      </c>
      <c r="K390" s="740" t="str">
        <f t="shared" ca="1" si="22"/>
        <v/>
      </c>
      <c r="L390" s="740" t="str">
        <f t="shared" ca="1" si="23"/>
        <v/>
      </c>
      <c r="M390" s="264"/>
      <c r="N390" s="277"/>
      <c r="O390" s="278"/>
    </row>
    <row r="391" spans="1:15" ht="13.95" customHeight="1" x14ac:dyDescent="0.25">
      <c r="A391" s="169"/>
      <c r="B391" s="273"/>
      <c r="C391" s="378"/>
      <c r="D391" s="588" t="s">
        <v>185</v>
      </c>
      <c r="E391" s="952" t="e">
        <f ca="1">VLOOKUP($D391,Data!$C$2:$H$370,6,FALSE)</f>
        <v>#VALUE!</v>
      </c>
      <c r="F391" s="378"/>
      <c r="G391" s="588" t="s">
        <v>185</v>
      </c>
      <c r="H391" s="949" t="e">
        <f t="shared" ca="1" si="24"/>
        <v>#VALUE!</v>
      </c>
      <c r="I391" s="740" t="str">
        <f t="shared" ca="1" si="20"/>
        <v/>
      </c>
      <c r="J391" s="740" t="str">
        <f t="shared" ca="1" si="21"/>
        <v/>
      </c>
      <c r="K391" s="740" t="str">
        <f t="shared" ca="1" si="22"/>
        <v/>
      </c>
      <c r="L391" s="740" t="str">
        <f t="shared" ca="1" si="23"/>
        <v/>
      </c>
      <c r="M391" s="264"/>
      <c r="N391" s="277"/>
      <c r="O391" s="278"/>
    </row>
    <row r="392" spans="1:15" ht="13.95" customHeight="1" x14ac:dyDescent="0.25">
      <c r="A392" s="169"/>
      <c r="B392" s="273"/>
      <c r="C392" s="378"/>
      <c r="D392" s="588" t="s">
        <v>186</v>
      </c>
      <c r="E392" s="952" t="e">
        <f ca="1">VLOOKUP($D392,Data!$C$2:$H$370,6,FALSE)</f>
        <v>#VALUE!</v>
      </c>
      <c r="F392" s="378"/>
      <c r="G392" s="588" t="s">
        <v>186</v>
      </c>
      <c r="H392" s="949" t="e">
        <f t="shared" ca="1" si="24"/>
        <v>#VALUE!</v>
      </c>
      <c r="I392" s="740" t="str">
        <f t="shared" ca="1" si="20"/>
        <v/>
      </c>
      <c r="J392" s="740" t="str">
        <f t="shared" ca="1" si="21"/>
        <v/>
      </c>
      <c r="K392" s="740" t="str">
        <f t="shared" ca="1" si="22"/>
        <v/>
      </c>
      <c r="L392" s="740" t="str">
        <f t="shared" ca="1" si="23"/>
        <v/>
      </c>
      <c r="M392" s="264"/>
      <c r="N392" s="277"/>
      <c r="O392" s="278"/>
    </row>
    <row r="393" spans="1:15" ht="13.95" customHeight="1" x14ac:dyDescent="0.25">
      <c r="A393" s="169"/>
      <c r="B393" s="273"/>
      <c r="C393" s="378"/>
      <c r="D393" s="588" t="s">
        <v>187</v>
      </c>
      <c r="E393" s="952" t="e">
        <f ca="1">VLOOKUP($D393,Data!$C$2:$H$370,6,FALSE)</f>
        <v>#VALUE!</v>
      </c>
      <c r="F393" s="378"/>
      <c r="G393" s="588" t="s">
        <v>187</v>
      </c>
      <c r="H393" s="949" t="e">
        <f t="shared" ca="1" si="24"/>
        <v>#VALUE!</v>
      </c>
      <c r="I393" s="740" t="str">
        <f t="shared" ca="1" si="20"/>
        <v/>
      </c>
      <c r="J393" s="740" t="str">
        <f t="shared" ca="1" si="21"/>
        <v/>
      </c>
      <c r="K393" s="740" t="str">
        <f t="shared" ca="1" si="22"/>
        <v/>
      </c>
      <c r="L393" s="740" t="str">
        <f t="shared" ca="1" si="23"/>
        <v/>
      </c>
      <c r="M393" s="264"/>
      <c r="N393" s="277"/>
      <c r="O393" s="278"/>
    </row>
    <row r="394" spans="1:15" ht="13.95" customHeight="1" x14ac:dyDescent="0.25">
      <c r="A394" s="169"/>
      <c r="B394" s="273"/>
      <c r="C394" s="378"/>
      <c r="D394" s="588" t="s">
        <v>188</v>
      </c>
      <c r="E394" s="952" t="e">
        <f ca="1">VLOOKUP($D394,Data!$C$2:$H$370,6,FALSE)</f>
        <v>#VALUE!</v>
      </c>
      <c r="F394" s="378"/>
      <c r="G394" s="588" t="s">
        <v>188</v>
      </c>
      <c r="H394" s="949" t="e">
        <f t="shared" ca="1" si="24"/>
        <v>#VALUE!</v>
      </c>
      <c r="I394" s="740" t="str">
        <f t="shared" ca="1" si="20"/>
        <v/>
      </c>
      <c r="J394" s="740" t="str">
        <f t="shared" ca="1" si="21"/>
        <v/>
      </c>
      <c r="K394" s="740" t="str">
        <f t="shared" ca="1" si="22"/>
        <v/>
      </c>
      <c r="L394" s="740" t="str">
        <f t="shared" ca="1" si="23"/>
        <v/>
      </c>
      <c r="M394" s="264"/>
      <c r="N394" s="277"/>
      <c r="O394" s="278"/>
    </row>
    <row r="395" spans="1:15" ht="13.95" customHeight="1" x14ac:dyDescent="0.25">
      <c r="A395" s="169"/>
      <c r="B395" s="273"/>
      <c r="C395" s="378"/>
      <c r="D395" s="588" t="s">
        <v>189</v>
      </c>
      <c r="E395" s="952" t="e">
        <f ca="1">VLOOKUP($D395,Data!$C$2:$H$370,6,FALSE)</f>
        <v>#VALUE!</v>
      </c>
      <c r="F395" s="378"/>
      <c r="G395" s="588" t="s">
        <v>189</v>
      </c>
      <c r="H395" s="949" t="e">
        <f t="shared" ca="1" si="24"/>
        <v>#VALUE!</v>
      </c>
      <c r="I395" s="740" t="str">
        <f t="shared" ca="1" si="20"/>
        <v/>
      </c>
      <c r="J395" s="740" t="str">
        <f t="shared" ca="1" si="21"/>
        <v/>
      </c>
      <c r="K395" s="740" t="str">
        <f t="shared" ca="1" si="22"/>
        <v/>
      </c>
      <c r="L395" s="740" t="str">
        <f t="shared" ca="1" si="23"/>
        <v/>
      </c>
      <c r="M395" s="264"/>
      <c r="N395" s="277"/>
      <c r="O395" s="278"/>
    </row>
    <row r="396" spans="1:15" ht="13.95" customHeight="1" x14ac:dyDescent="0.25">
      <c r="A396" s="169"/>
      <c r="B396" s="273"/>
      <c r="C396" s="378"/>
      <c r="D396" s="588" t="s">
        <v>190</v>
      </c>
      <c r="E396" s="952" t="e">
        <f ca="1">VLOOKUP($D396,Data!$C$2:$H$370,6,FALSE)</f>
        <v>#VALUE!</v>
      </c>
      <c r="F396" s="378"/>
      <c r="G396" s="588" t="s">
        <v>190</v>
      </c>
      <c r="H396" s="949" t="e">
        <f t="shared" ca="1" si="24"/>
        <v>#VALUE!</v>
      </c>
      <c r="I396" s="740" t="str">
        <f t="shared" ca="1" si="20"/>
        <v/>
      </c>
      <c r="J396" s="740" t="str">
        <f t="shared" ca="1" si="21"/>
        <v/>
      </c>
      <c r="K396" s="740" t="str">
        <f t="shared" ca="1" si="22"/>
        <v/>
      </c>
      <c r="L396" s="740" t="str">
        <f t="shared" ca="1" si="23"/>
        <v/>
      </c>
      <c r="M396" s="264"/>
      <c r="N396" s="277"/>
      <c r="O396" s="278"/>
    </row>
    <row r="397" spans="1:15" ht="13.95" customHeight="1" x14ac:dyDescent="0.25">
      <c r="A397" s="169"/>
      <c r="B397" s="273"/>
      <c r="C397" s="378"/>
      <c r="D397" s="588" t="s">
        <v>191</v>
      </c>
      <c r="E397" s="952" t="e">
        <f ca="1">VLOOKUP($D397,Data!$C$2:$H$370,6,FALSE)</f>
        <v>#VALUE!</v>
      </c>
      <c r="F397" s="378"/>
      <c r="G397" s="588" t="s">
        <v>191</v>
      </c>
      <c r="H397" s="949" t="e">
        <f t="shared" ca="1" si="24"/>
        <v>#VALUE!</v>
      </c>
      <c r="I397" s="740" t="str">
        <f t="shared" ca="1" si="20"/>
        <v/>
      </c>
      <c r="J397" s="740" t="str">
        <f t="shared" ca="1" si="21"/>
        <v/>
      </c>
      <c r="K397" s="740" t="str">
        <f t="shared" ca="1" si="22"/>
        <v/>
      </c>
      <c r="L397" s="740" t="str">
        <f t="shared" ca="1" si="23"/>
        <v/>
      </c>
      <c r="M397" s="264"/>
      <c r="N397" s="277"/>
      <c r="O397" s="278"/>
    </row>
    <row r="398" spans="1:15" ht="13.95" customHeight="1" x14ac:dyDescent="0.25">
      <c r="A398" s="169"/>
      <c r="B398" s="273"/>
      <c r="C398" s="378"/>
      <c r="D398" s="588" t="s">
        <v>192</v>
      </c>
      <c r="E398" s="952" t="e">
        <f ca="1">VLOOKUP($D398,Data!$C$2:$H$370,6,FALSE)</f>
        <v>#VALUE!</v>
      </c>
      <c r="F398" s="378"/>
      <c r="G398" s="588" t="s">
        <v>192</v>
      </c>
      <c r="H398" s="949" t="e">
        <f t="shared" ca="1" si="24"/>
        <v>#VALUE!</v>
      </c>
      <c r="I398" s="740" t="str">
        <f t="shared" ca="1" si="20"/>
        <v/>
      </c>
      <c r="J398" s="740" t="str">
        <f t="shared" ca="1" si="21"/>
        <v/>
      </c>
      <c r="K398" s="740" t="str">
        <f t="shared" ca="1" si="22"/>
        <v/>
      </c>
      <c r="L398" s="740" t="str">
        <f t="shared" ca="1" si="23"/>
        <v/>
      </c>
      <c r="M398" s="264"/>
      <c r="N398" s="277"/>
      <c r="O398" s="278"/>
    </row>
    <row r="399" spans="1:15" ht="13.95" customHeight="1" x14ac:dyDescent="0.25">
      <c r="A399" s="169"/>
      <c r="B399" s="273"/>
      <c r="C399" s="378"/>
      <c r="D399" s="588" t="s">
        <v>193</v>
      </c>
      <c r="E399" s="952" t="e">
        <f ca="1">VLOOKUP($D399,Data!$C$2:$H$370,6,FALSE)</f>
        <v>#VALUE!</v>
      </c>
      <c r="F399" s="378"/>
      <c r="G399" s="588" t="s">
        <v>193</v>
      </c>
      <c r="H399" s="949" t="e">
        <f t="shared" ca="1" si="24"/>
        <v>#VALUE!</v>
      </c>
      <c r="I399" s="740" t="str">
        <f t="shared" ref="I399:I447" ca="1" si="25">IF(VLOOKUP(RIGHT($G399,LEN($G399)-FIND("-",$G399)), INDIRECT("'"&amp;LEFT($G399,FIND("-",$G399)-1)&amp;"'!"&amp;"$D:$K"), 5,FALSE) = 0, "",
VLOOKUP(RIGHT($G399,LEN($G399)-FIND("-",$G399)), INDIRECT("'"&amp;LEFT($G399,FIND("-",$G399)-1)&amp;"'!"&amp;"$D:$K"), 5,FALSE) )</f>
        <v/>
      </c>
      <c r="J399" s="740" t="str">
        <f t="shared" ref="J399:J447" ca="1" si="26">IF(VLOOKUP(RIGHT($G399,LEN($G399)-FIND("-",$G399)), INDIRECT("'"&amp;LEFT($G399,FIND("-",$G399)-1)&amp;"'!"&amp;"$D:$K"), 6,FALSE) = 0, "",
VLOOKUP(RIGHT($G399,LEN($G399)-FIND("-",$G399)), INDIRECT("'"&amp;LEFT($G399,FIND("-",$G399)-1)&amp;"'!"&amp;"$D:$K"), 6,FALSE) )</f>
        <v/>
      </c>
      <c r="K399" s="740" t="str">
        <f t="shared" ref="K399:K447" ca="1" si="27">IF(VLOOKUP(RIGHT($G399,LEN($G399)-FIND("-",$G399)), INDIRECT("'"&amp;LEFT($G399,FIND("-",$G399)-1)&amp;"'!"&amp;"$D:$K"), 7,FALSE) = 0, "",
VLOOKUP(RIGHT($G399,LEN($G399)-FIND("-",$G399)), INDIRECT("'"&amp;LEFT($G399,FIND("-",$G399)-1)&amp;"'!"&amp;"$D:$K"), 7,FALSE) )</f>
        <v/>
      </c>
      <c r="L399" s="740" t="str">
        <f t="shared" ref="L399:L447" ca="1" si="28">IF(VLOOKUP(RIGHT($G399,LEN($G399)-FIND("-",$G399)), INDIRECT("'"&amp;LEFT($G399,FIND("-",$G399)-1)&amp;"'!"&amp;"$D:$K"), 8,FALSE) = 0, "",
VLOOKUP(RIGHT($G399,LEN($G399)-FIND("-",$G399)), INDIRECT("'"&amp;LEFT($G399,FIND("-",$G399)-1)&amp;"'!"&amp;"$D:$K"), 8,FALSE) )</f>
        <v/>
      </c>
      <c r="M399" s="264"/>
      <c r="N399" s="277"/>
      <c r="O399" s="278"/>
    </row>
    <row r="400" spans="1:15" ht="13.95" customHeight="1" x14ac:dyDescent="0.25">
      <c r="A400" s="169"/>
      <c r="B400" s="273"/>
      <c r="C400" s="378"/>
      <c r="D400" s="588" t="s">
        <v>195</v>
      </c>
      <c r="E400" s="952" t="e">
        <f ca="1">VLOOKUP($D400,Data!$C$2:$H$370,6,FALSE)</f>
        <v>#VALUE!</v>
      </c>
      <c r="F400" s="378"/>
      <c r="G400" s="588" t="s">
        <v>195</v>
      </c>
      <c r="H400" s="949" t="e">
        <f t="shared" ref="H400:H447" ca="1" si="29">INT(LEFT(
VLOOKUP(RIGHT($G400,LEN($G400)-FIND("-",$G400)), INDIRECT("'"&amp;LEFT($G400,FIND("-",$G400)-1)&amp;"'!"&amp;"$D:$K"), 4,FALSE), 1)
)</f>
        <v>#VALUE!</v>
      </c>
      <c r="I400" s="740" t="str">
        <f t="shared" ca="1" si="25"/>
        <v/>
      </c>
      <c r="J400" s="740" t="str">
        <f t="shared" ca="1" si="26"/>
        <v/>
      </c>
      <c r="K400" s="740" t="str">
        <f t="shared" ca="1" si="27"/>
        <v/>
      </c>
      <c r="L400" s="740" t="str">
        <f t="shared" ca="1" si="28"/>
        <v/>
      </c>
      <c r="M400" s="264"/>
      <c r="N400" s="277"/>
      <c r="O400" s="278"/>
    </row>
    <row r="401" spans="1:15" ht="13.95" customHeight="1" x14ac:dyDescent="0.25">
      <c r="A401" s="169"/>
      <c r="B401" s="273"/>
      <c r="C401" s="378"/>
      <c r="D401" s="588" t="s">
        <v>197</v>
      </c>
      <c r="E401" s="952" t="e">
        <f ca="1">VLOOKUP($D401,Data!$C$2:$H$370,6,FALSE)</f>
        <v>#VALUE!</v>
      </c>
      <c r="F401" s="378"/>
      <c r="G401" s="588" t="s">
        <v>197</v>
      </c>
      <c r="H401" s="949" t="e">
        <f t="shared" ca="1" si="29"/>
        <v>#VALUE!</v>
      </c>
      <c r="I401" s="740" t="str">
        <f t="shared" ca="1" si="25"/>
        <v/>
      </c>
      <c r="J401" s="740" t="str">
        <f t="shared" ca="1" si="26"/>
        <v/>
      </c>
      <c r="K401" s="740" t="str">
        <f t="shared" ca="1" si="27"/>
        <v/>
      </c>
      <c r="L401" s="740" t="str">
        <f t="shared" ca="1" si="28"/>
        <v/>
      </c>
      <c r="M401" s="264"/>
      <c r="N401" s="277"/>
      <c r="O401" s="278"/>
    </row>
    <row r="402" spans="1:15" ht="13.95" customHeight="1" x14ac:dyDescent="0.25">
      <c r="A402" s="169"/>
      <c r="B402" s="273"/>
      <c r="C402" s="378"/>
      <c r="D402" s="588" t="s">
        <v>198</v>
      </c>
      <c r="E402" s="952" t="e">
        <f ca="1">VLOOKUP($D402,Data!$C$2:$H$370,6,FALSE)</f>
        <v>#VALUE!</v>
      </c>
      <c r="F402" s="378"/>
      <c r="G402" s="588" t="s">
        <v>198</v>
      </c>
      <c r="H402" s="949" t="e">
        <f t="shared" ca="1" si="29"/>
        <v>#VALUE!</v>
      </c>
      <c r="I402" s="740" t="str">
        <f t="shared" ca="1" si="25"/>
        <v/>
      </c>
      <c r="J402" s="740" t="str">
        <f t="shared" ca="1" si="26"/>
        <v/>
      </c>
      <c r="K402" s="740" t="str">
        <f t="shared" ca="1" si="27"/>
        <v/>
      </c>
      <c r="L402" s="740" t="str">
        <f t="shared" ca="1" si="28"/>
        <v/>
      </c>
      <c r="M402" s="264"/>
      <c r="N402" s="277"/>
      <c r="O402" s="278"/>
    </row>
    <row r="403" spans="1:15" ht="13.95" customHeight="1" x14ac:dyDescent="0.25">
      <c r="A403" s="169"/>
      <c r="B403" s="273"/>
      <c r="C403" s="378"/>
      <c r="D403" s="588" t="s">
        <v>199</v>
      </c>
      <c r="E403" s="952" t="e">
        <f ca="1">VLOOKUP($D403,Data!$C$2:$H$370,6,FALSE)</f>
        <v>#VALUE!</v>
      </c>
      <c r="F403" s="378"/>
      <c r="G403" s="588" t="s">
        <v>199</v>
      </c>
      <c r="H403" s="949" t="e">
        <f t="shared" ca="1" si="29"/>
        <v>#VALUE!</v>
      </c>
      <c r="I403" s="740" t="str">
        <f t="shared" ca="1" si="25"/>
        <v/>
      </c>
      <c r="J403" s="740" t="str">
        <f t="shared" ca="1" si="26"/>
        <v/>
      </c>
      <c r="K403" s="740" t="str">
        <f t="shared" ca="1" si="27"/>
        <v/>
      </c>
      <c r="L403" s="740" t="str">
        <f t="shared" ca="1" si="28"/>
        <v/>
      </c>
      <c r="M403" s="264"/>
      <c r="N403" s="277"/>
      <c r="O403" s="278"/>
    </row>
    <row r="404" spans="1:15" ht="13.95" customHeight="1" x14ac:dyDescent="0.25">
      <c r="A404" s="169"/>
      <c r="B404" s="273"/>
      <c r="C404" s="378"/>
      <c r="D404" s="588" t="s">
        <v>200</v>
      </c>
      <c r="E404" s="952" t="e">
        <f ca="1">VLOOKUP($D404,Data!$C$2:$H$370,6,FALSE)</f>
        <v>#VALUE!</v>
      </c>
      <c r="F404" s="378"/>
      <c r="G404" s="588" t="s">
        <v>200</v>
      </c>
      <c r="H404" s="949" t="e">
        <f t="shared" ca="1" si="29"/>
        <v>#VALUE!</v>
      </c>
      <c r="I404" s="740" t="str">
        <f t="shared" ca="1" si="25"/>
        <v/>
      </c>
      <c r="J404" s="740" t="str">
        <f t="shared" ca="1" si="26"/>
        <v/>
      </c>
      <c r="K404" s="740" t="str">
        <f t="shared" ca="1" si="27"/>
        <v/>
      </c>
      <c r="L404" s="740" t="str">
        <f t="shared" ca="1" si="28"/>
        <v/>
      </c>
      <c r="M404" s="264"/>
      <c r="N404" s="277"/>
      <c r="O404" s="278"/>
    </row>
    <row r="405" spans="1:15" ht="13.95" customHeight="1" x14ac:dyDescent="0.25">
      <c r="A405" s="169"/>
      <c r="B405" s="273"/>
      <c r="C405" s="378"/>
      <c r="D405" s="588" t="s">
        <v>201</v>
      </c>
      <c r="E405" s="952" t="e">
        <f ca="1">VLOOKUP($D405,Data!$C$2:$H$370,6,FALSE)</f>
        <v>#VALUE!</v>
      </c>
      <c r="F405" s="378"/>
      <c r="G405" s="588" t="s">
        <v>201</v>
      </c>
      <c r="H405" s="949" t="e">
        <f t="shared" ca="1" si="29"/>
        <v>#VALUE!</v>
      </c>
      <c r="I405" s="740" t="str">
        <f t="shared" ca="1" si="25"/>
        <v/>
      </c>
      <c r="J405" s="740" t="str">
        <f t="shared" ca="1" si="26"/>
        <v/>
      </c>
      <c r="K405" s="740" t="str">
        <f t="shared" ca="1" si="27"/>
        <v/>
      </c>
      <c r="L405" s="740" t="str">
        <f t="shared" ca="1" si="28"/>
        <v/>
      </c>
      <c r="M405" s="264"/>
      <c r="N405" s="277"/>
      <c r="O405" s="278"/>
    </row>
    <row r="406" spans="1:15" ht="13.95" customHeight="1" x14ac:dyDescent="0.25">
      <c r="A406" s="169"/>
      <c r="B406" s="273"/>
      <c r="C406" s="378"/>
      <c r="D406" s="588" t="s">
        <v>202</v>
      </c>
      <c r="E406" s="952" t="e">
        <f ca="1">VLOOKUP($D406,Data!$C$2:$H$370,6,FALSE)</f>
        <v>#VALUE!</v>
      </c>
      <c r="F406" s="378"/>
      <c r="G406" s="588" t="s">
        <v>202</v>
      </c>
      <c r="H406" s="949" t="e">
        <f t="shared" ca="1" si="29"/>
        <v>#VALUE!</v>
      </c>
      <c r="I406" s="740" t="str">
        <f t="shared" ca="1" si="25"/>
        <v/>
      </c>
      <c r="J406" s="740" t="str">
        <f t="shared" ca="1" si="26"/>
        <v/>
      </c>
      <c r="K406" s="740" t="str">
        <f t="shared" ca="1" si="27"/>
        <v/>
      </c>
      <c r="L406" s="740" t="str">
        <f t="shared" ca="1" si="28"/>
        <v/>
      </c>
      <c r="M406" s="264"/>
      <c r="N406" s="277"/>
      <c r="O406" s="278"/>
    </row>
    <row r="407" spans="1:15" ht="13.95" customHeight="1" x14ac:dyDescent="0.25">
      <c r="A407" s="169"/>
      <c r="B407" s="273"/>
      <c r="C407" s="378"/>
      <c r="D407" s="588" t="s">
        <v>203</v>
      </c>
      <c r="E407" s="952" t="e">
        <f ca="1">VLOOKUP($D407,Data!$C$2:$H$370,6,FALSE)</f>
        <v>#VALUE!</v>
      </c>
      <c r="F407" s="378"/>
      <c r="G407" s="588" t="s">
        <v>203</v>
      </c>
      <c r="H407" s="949" t="e">
        <f t="shared" ca="1" si="29"/>
        <v>#VALUE!</v>
      </c>
      <c r="I407" s="740" t="str">
        <f t="shared" ca="1" si="25"/>
        <v/>
      </c>
      <c r="J407" s="740" t="str">
        <f t="shared" ca="1" si="26"/>
        <v/>
      </c>
      <c r="K407" s="740" t="str">
        <f t="shared" ca="1" si="27"/>
        <v/>
      </c>
      <c r="L407" s="740" t="str">
        <f t="shared" ca="1" si="28"/>
        <v/>
      </c>
      <c r="M407" s="264"/>
      <c r="N407" s="277"/>
      <c r="O407" s="278"/>
    </row>
    <row r="408" spans="1:15" ht="13.95" customHeight="1" x14ac:dyDescent="0.25">
      <c r="A408" s="169"/>
      <c r="B408" s="273"/>
      <c r="C408" s="378"/>
      <c r="D408" s="588" t="s">
        <v>204</v>
      </c>
      <c r="E408" s="952" t="e">
        <f ca="1">VLOOKUP($D408,Data!$C$2:$H$370,6,FALSE)</f>
        <v>#VALUE!</v>
      </c>
      <c r="F408" s="378"/>
      <c r="G408" s="588" t="s">
        <v>204</v>
      </c>
      <c r="H408" s="949" t="e">
        <f t="shared" ca="1" si="29"/>
        <v>#VALUE!</v>
      </c>
      <c r="I408" s="740" t="str">
        <f t="shared" ca="1" si="25"/>
        <v/>
      </c>
      <c r="J408" s="740" t="str">
        <f t="shared" ca="1" si="26"/>
        <v/>
      </c>
      <c r="K408" s="740" t="str">
        <f t="shared" ca="1" si="27"/>
        <v/>
      </c>
      <c r="L408" s="740" t="str">
        <f t="shared" ca="1" si="28"/>
        <v/>
      </c>
      <c r="M408" s="264"/>
      <c r="N408" s="277"/>
      <c r="O408" s="278"/>
    </row>
    <row r="409" spans="1:15" ht="13.95" customHeight="1" x14ac:dyDescent="0.25">
      <c r="A409" s="169"/>
      <c r="B409" s="273"/>
      <c r="C409" s="378"/>
      <c r="D409" s="588" t="s">
        <v>205</v>
      </c>
      <c r="E409" s="952" t="e">
        <f ca="1">VLOOKUP($D409,Data!$C$2:$H$370,6,FALSE)</f>
        <v>#VALUE!</v>
      </c>
      <c r="F409" s="378"/>
      <c r="G409" s="588" t="s">
        <v>205</v>
      </c>
      <c r="H409" s="949" t="e">
        <f t="shared" ca="1" si="29"/>
        <v>#VALUE!</v>
      </c>
      <c r="I409" s="740" t="str">
        <f t="shared" ca="1" si="25"/>
        <v/>
      </c>
      <c r="J409" s="740" t="str">
        <f t="shared" ca="1" si="26"/>
        <v/>
      </c>
      <c r="K409" s="740" t="str">
        <f t="shared" ca="1" si="27"/>
        <v/>
      </c>
      <c r="L409" s="740" t="str">
        <f t="shared" ca="1" si="28"/>
        <v/>
      </c>
      <c r="M409" s="264"/>
      <c r="N409" s="277"/>
      <c r="O409" s="278"/>
    </row>
    <row r="410" spans="1:15" ht="13.95" customHeight="1" x14ac:dyDescent="0.25">
      <c r="A410" s="169"/>
      <c r="B410" s="273"/>
      <c r="C410" s="378"/>
      <c r="D410" s="588" t="s">
        <v>207</v>
      </c>
      <c r="E410" s="952" t="e">
        <f ca="1">VLOOKUP($D410,Data!$C$2:$H$370,6,FALSE)</f>
        <v>#VALUE!</v>
      </c>
      <c r="F410" s="378"/>
      <c r="G410" s="588" t="s">
        <v>207</v>
      </c>
      <c r="H410" s="949" t="e">
        <f t="shared" ca="1" si="29"/>
        <v>#VALUE!</v>
      </c>
      <c r="I410" s="740" t="str">
        <f t="shared" ca="1" si="25"/>
        <v/>
      </c>
      <c r="J410" s="740" t="str">
        <f t="shared" ca="1" si="26"/>
        <v/>
      </c>
      <c r="K410" s="740" t="str">
        <f t="shared" ca="1" si="27"/>
        <v/>
      </c>
      <c r="L410" s="740" t="str">
        <f t="shared" ca="1" si="28"/>
        <v/>
      </c>
      <c r="M410" s="264"/>
      <c r="N410" s="277"/>
      <c r="O410" s="278"/>
    </row>
    <row r="411" spans="1:15" ht="13.95" customHeight="1" x14ac:dyDescent="0.25">
      <c r="A411" s="169"/>
      <c r="B411" s="273"/>
      <c r="C411" s="378"/>
      <c r="D411" s="588" t="s">
        <v>209</v>
      </c>
      <c r="E411" s="952" t="e">
        <f ca="1">VLOOKUP($D411,Data!$C$2:$H$370,6,FALSE)</f>
        <v>#VALUE!</v>
      </c>
      <c r="F411" s="378"/>
      <c r="G411" s="588" t="s">
        <v>209</v>
      </c>
      <c r="H411" s="949" t="e">
        <f t="shared" ca="1" si="29"/>
        <v>#VALUE!</v>
      </c>
      <c r="I411" s="740" t="str">
        <f t="shared" ca="1" si="25"/>
        <v/>
      </c>
      <c r="J411" s="740" t="str">
        <f t="shared" ca="1" si="26"/>
        <v/>
      </c>
      <c r="K411" s="740" t="str">
        <f t="shared" ca="1" si="27"/>
        <v/>
      </c>
      <c r="L411" s="740" t="str">
        <f t="shared" ca="1" si="28"/>
        <v/>
      </c>
      <c r="M411" s="264"/>
      <c r="N411" s="277"/>
      <c r="O411" s="278"/>
    </row>
    <row r="412" spans="1:15" ht="13.95" customHeight="1" x14ac:dyDescent="0.25">
      <c r="A412" s="169"/>
      <c r="B412" s="273"/>
      <c r="C412" s="378"/>
      <c r="D412" s="588" t="s">
        <v>215</v>
      </c>
      <c r="E412" s="952" t="e">
        <f ca="1">VLOOKUP($D412,Data!$C$2:$H$370,6,FALSE)</f>
        <v>#VALUE!</v>
      </c>
      <c r="F412" s="378"/>
      <c r="G412" s="588" t="s">
        <v>215</v>
      </c>
      <c r="H412" s="949" t="e">
        <f t="shared" ca="1" si="29"/>
        <v>#VALUE!</v>
      </c>
      <c r="I412" s="740" t="str">
        <f t="shared" ca="1" si="25"/>
        <v/>
      </c>
      <c r="J412" s="740" t="str">
        <f t="shared" ca="1" si="26"/>
        <v/>
      </c>
      <c r="K412" s="740" t="str">
        <f t="shared" ca="1" si="27"/>
        <v/>
      </c>
      <c r="L412" s="740" t="str">
        <f t="shared" ca="1" si="28"/>
        <v/>
      </c>
      <c r="M412" s="264"/>
      <c r="N412" s="277"/>
      <c r="O412" s="278"/>
    </row>
    <row r="413" spans="1:15" ht="13.95" customHeight="1" x14ac:dyDescent="0.25">
      <c r="A413" s="169"/>
      <c r="B413" s="273"/>
      <c r="C413" s="378"/>
      <c r="D413" s="588" t="s">
        <v>216</v>
      </c>
      <c r="E413" s="952" t="e">
        <f ca="1">VLOOKUP($D413,Data!$C$2:$H$370,6,FALSE)</f>
        <v>#VALUE!</v>
      </c>
      <c r="F413" s="378"/>
      <c r="G413" s="588" t="s">
        <v>216</v>
      </c>
      <c r="H413" s="949" t="e">
        <f t="shared" ca="1" si="29"/>
        <v>#VALUE!</v>
      </c>
      <c r="I413" s="740" t="str">
        <f t="shared" ca="1" si="25"/>
        <v/>
      </c>
      <c r="J413" s="740" t="str">
        <f t="shared" ca="1" si="26"/>
        <v/>
      </c>
      <c r="K413" s="740" t="str">
        <f t="shared" ca="1" si="27"/>
        <v/>
      </c>
      <c r="L413" s="740" t="str">
        <f t="shared" ca="1" si="28"/>
        <v/>
      </c>
      <c r="M413" s="264"/>
      <c r="N413" s="277"/>
      <c r="O413" s="278"/>
    </row>
    <row r="414" spans="1:15" ht="13.95" customHeight="1" x14ac:dyDescent="0.25">
      <c r="A414" s="169"/>
      <c r="B414" s="273"/>
      <c r="C414" s="378"/>
      <c r="D414" s="588" t="s">
        <v>217</v>
      </c>
      <c r="E414" s="952" t="e">
        <f ca="1">VLOOKUP($D414,Data!$C$2:$H$370,6,FALSE)</f>
        <v>#VALUE!</v>
      </c>
      <c r="F414" s="378"/>
      <c r="G414" s="588" t="s">
        <v>217</v>
      </c>
      <c r="H414" s="949" t="e">
        <f t="shared" ca="1" si="29"/>
        <v>#VALUE!</v>
      </c>
      <c r="I414" s="740" t="str">
        <f t="shared" ca="1" si="25"/>
        <v/>
      </c>
      <c r="J414" s="740" t="str">
        <f t="shared" ca="1" si="26"/>
        <v/>
      </c>
      <c r="K414" s="740" t="str">
        <f t="shared" ca="1" si="27"/>
        <v/>
      </c>
      <c r="L414" s="740" t="str">
        <f t="shared" ca="1" si="28"/>
        <v/>
      </c>
      <c r="M414" s="264"/>
      <c r="N414" s="277"/>
      <c r="O414" s="278"/>
    </row>
    <row r="415" spans="1:15" ht="13.95" customHeight="1" x14ac:dyDescent="0.25">
      <c r="A415" s="169"/>
      <c r="B415" s="273"/>
      <c r="C415" s="378"/>
      <c r="D415" s="588" t="s">
        <v>218</v>
      </c>
      <c r="E415" s="952" t="e">
        <f ca="1">VLOOKUP($D415,Data!$C$2:$H$370,6,FALSE)</f>
        <v>#VALUE!</v>
      </c>
      <c r="F415" s="378"/>
      <c r="G415" s="588" t="s">
        <v>218</v>
      </c>
      <c r="H415" s="949" t="e">
        <f t="shared" ca="1" si="29"/>
        <v>#VALUE!</v>
      </c>
      <c r="I415" s="740" t="str">
        <f t="shared" ca="1" si="25"/>
        <v/>
      </c>
      <c r="J415" s="740" t="str">
        <f t="shared" ca="1" si="26"/>
        <v/>
      </c>
      <c r="K415" s="740" t="str">
        <f t="shared" ca="1" si="27"/>
        <v/>
      </c>
      <c r="L415" s="740" t="str">
        <f t="shared" ca="1" si="28"/>
        <v/>
      </c>
      <c r="M415" s="264"/>
      <c r="N415" s="277"/>
      <c r="O415" s="278"/>
    </row>
    <row r="416" spans="1:15" ht="13.95" customHeight="1" x14ac:dyDescent="0.25">
      <c r="A416" s="169"/>
      <c r="B416" s="273"/>
      <c r="C416" s="378"/>
      <c r="D416" s="588" t="s">
        <v>219</v>
      </c>
      <c r="E416" s="952" t="e">
        <f ca="1">VLOOKUP($D416,Data!$C$2:$H$370,6,FALSE)</f>
        <v>#VALUE!</v>
      </c>
      <c r="F416" s="378"/>
      <c r="G416" s="588" t="s">
        <v>219</v>
      </c>
      <c r="H416" s="949" t="e">
        <f t="shared" ca="1" si="29"/>
        <v>#VALUE!</v>
      </c>
      <c r="I416" s="740" t="str">
        <f t="shared" ca="1" si="25"/>
        <v/>
      </c>
      <c r="J416" s="740" t="str">
        <f t="shared" ca="1" si="26"/>
        <v/>
      </c>
      <c r="K416" s="740" t="str">
        <f t="shared" ca="1" si="27"/>
        <v/>
      </c>
      <c r="L416" s="740" t="str">
        <f t="shared" ca="1" si="28"/>
        <v/>
      </c>
      <c r="M416" s="264"/>
      <c r="N416" s="277"/>
      <c r="O416" s="278"/>
    </row>
    <row r="417" spans="1:15" ht="13.95" customHeight="1" x14ac:dyDescent="0.25">
      <c r="A417" s="169"/>
      <c r="B417" s="273"/>
      <c r="C417" s="378"/>
      <c r="D417" s="588" t="s">
        <v>220</v>
      </c>
      <c r="E417" s="952" t="e">
        <f ca="1">VLOOKUP($D417,Data!$C$2:$H$370,6,FALSE)</f>
        <v>#VALUE!</v>
      </c>
      <c r="F417" s="378"/>
      <c r="G417" s="588" t="s">
        <v>220</v>
      </c>
      <c r="H417" s="949" t="e">
        <f t="shared" ca="1" si="29"/>
        <v>#VALUE!</v>
      </c>
      <c r="I417" s="740" t="str">
        <f t="shared" ca="1" si="25"/>
        <v/>
      </c>
      <c r="J417" s="740" t="str">
        <f t="shared" ca="1" si="26"/>
        <v/>
      </c>
      <c r="K417" s="740" t="str">
        <f t="shared" ca="1" si="27"/>
        <v/>
      </c>
      <c r="L417" s="740" t="str">
        <f t="shared" ca="1" si="28"/>
        <v/>
      </c>
      <c r="M417" s="264"/>
      <c r="N417" s="277"/>
      <c r="O417" s="278"/>
    </row>
    <row r="418" spans="1:15" ht="13.95" customHeight="1" x14ac:dyDescent="0.25">
      <c r="A418" s="169"/>
      <c r="B418" s="273"/>
      <c r="C418" s="378"/>
      <c r="D418" s="588" t="s">
        <v>315</v>
      </c>
      <c r="E418" s="952" t="e">
        <f ca="1">VLOOKUP($D418,Data!$C$2:$H$370,6,FALSE)</f>
        <v>#VALUE!</v>
      </c>
      <c r="F418" s="378"/>
      <c r="G418" s="588" t="s">
        <v>315</v>
      </c>
      <c r="H418" s="949" t="e">
        <f t="shared" ca="1" si="29"/>
        <v>#VALUE!</v>
      </c>
      <c r="I418" s="740" t="str">
        <f t="shared" ca="1" si="25"/>
        <v/>
      </c>
      <c r="J418" s="740" t="str">
        <f t="shared" ca="1" si="26"/>
        <v/>
      </c>
      <c r="K418" s="740" t="str">
        <f t="shared" ca="1" si="27"/>
        <v/>
      </c>
      <c r="L418" s="740" t="str">
        <f t="shared" ca="1" si="28"/>
        <v/>
      </c>
      <c r="M418" s="264"/>
      <c r="N418" s="277"/>
      <c r="O418" s="278"/>
    </row>
    <row r="419" spans="1:15" ht="13.95" customHeight="1" x14ac:dyDescent="0.25">
      <c r="A419" s="169"/>
      <c r="B419" s="273"/>
      <c r="C419" s="378"/>
      <c r="D419" s="588" t="s">
        <v>316</v>
      </c>
      <c r="E419" s="952" t="e">
        <f ca="1">VLOOKUP($D419,Data!$C$2:$H$370,6,FALSE)</f>
        <v>#VALUE!</v>
      </c>
      <c r="F419" s="378"/>
      <c r="G419" s="588" t="s">
        <v>316</v>
      </c>
      <c r="H419" s="949" t="e">
        <f t="shared" ca="1" si="29"/>
        <v>#VALUE!</v>
      </c>
      <c r="I419" s="740" t="str">
        <f t="shared" ca="1" si="25"/>
        <v/>
      </c>
      <c r="J419" s="740" t="str">
        <f t="shared" ca="1" si="26"/>
        <v/>
      </c>
      <c r="K419" s="740" t="str">
        <f t="shared" ca="1" si="27"/>
        <v/>
      </c>
      <c r="L419" s="740" t="str">
        <f t="shared" ca="1" si="28"/>
        <v/>
      </c>
      <c r="M419" s="264"/>
      <c r="N419" s="277"/>
      <c r="O419" s="278"/>
    </row>
    <row r="420" spans="1:15" ht="13.95" customHeight="1" x14ac:dyDescent="0.25">
      <c r="A420" s="169"/>
      <c r="B420" s="273"/>
      <c r="C420" s="378"/>
      <c r="D420" s="588" t="s">
        <v>317</v>
      </c>
      <c r="E420" s="952" t="e">
        <f ca="1">VLOOKUP($D420,Data!$C$2:$H$370,6,FALSE)</f>
        <v>#VALUE!</v>
      </c>
      <c r="F420" s="378"/>
      <c r="G420" s="588" t="s">
        <v>317</v>
      </c>
      <c r="H420" s="949" t="e">
        <f t="shared" ca="1" si="29"/>
        <v>#VALUE!</v>
      </c>
      <c r="I420" s="740" t="str">
        <f t="shared" ca="1" si="25"/>
        <v/>
      </c>
      <c r="J420" s="740" t="str">
        <f t="shared" ca="1" si="26"/>
        <v/>
      </c>
      <c r="K420" s="740" t="str">
        <f t="shared" ca="1" si="27"/>
        <v/>
      </c>
      <c r="L420" s="740" t="str">
        <f t="shared" ca="1" si="28"/>
        <v/>
      </c>
      <c r="M420" s="264"/>
      <c r="N420" s="277"/>
      <c r="O420" s="278"/>
    </row>
    <row r="421" spans="1:15" ht="13.95" customHeight="1" x14ac:dyDescent="0.25">
      <c r="A421" s="169"/>
      <c r="B421" s="273"/>
      <c r="C421" s="378"/>
      <c r="D421" s="588" t="s">
        <v>318</v>
      </c>
      <c r="E421" s="952" t="e">
        <f ca="1">VLOOKUP($D421,Data!$C$2:$H$370,6,FALSE)</f>
        <v>#VALUE!</v>
      </c>
      <c r="F421" s="378"/>
      <c r="G421" s="588" t="s">
        <v>318</v>
      </c>
      <c r="H421" s="949" t="e">
        <f t="shared" ca="1" si="29"/>
        <v>#VALUE!</v>
      </c>
      <c r="I421" s="740" t="str">
        <f t="shared" ca="1" si="25"/>
        <v/>
      </c>
      <c r="J421" s="740" t="str">
        <f t="shared" ca="1" si="26"/>
        <v/>
      </c>
      <c r="K421" s="740" t="str">
        <f t="shared" ca="1" si="27"/>
        <v/>
      </c>
      <c r="L421" s="740" t="str">
        <f t="shared" ca="1" si="28"/>
        <v/>
      </c>
      <c r="M421" s="264"/>
      <c r="N421" s="277"/>
      <c r="O421" s="278"/>
    </row>
    <row r="422" spans="1:15" ht="13.95" customHeight="1" x14ac:dyDescent="0.25">
      <c r="A422" s="169"/>
      <c r="B422" s="273"/>
      <c r="C422" s="378"/>
      <c r="D422" s="588" t="s">
        <v>319</v>
      </c>
      <c r="E422" s="952" t="e">
        <f ca="1">VLOOKUP($D422,Data!$C$2:$H$370,6,FALSE)</f>
        <v>#VALUE!</v>
      </c>
      <c r="F422" s="378"/>
      <c r="G422" s="588" t="s">
        <v>319</v>
      </c>
      <c r="H422" s="949" t="e">
        <f t="shared" ca="1" si="29"/>
        <v>#VALUE!</v>
      </c>
      <c r="I422" s="740" t="str">
        <f t="shared" ca="1" si="25"/>
        <v/>
      </c>
      <c r="J422" s="740" t="str">
        <f t="shared" ca="1" si="26"/>
        <v/>
      </c>
      <c r="K422" s="740" t="str">
        <f t="shared" ca="1" si="27"/>
        <v/>
      </c>
      <c r="L422" s="740" t="str">
        <f t="shared" ca="1" si="28"/>
        <v/>
      </c>
      <c r="M422" s="264"/>
      <c r="N422" s="277"/>
      <c r="O422" s="278"/>
    </row>
    <row r="423" spans="1:15" ht="13.95" customHeight="1" x14ac:dyDescent="0.25">
      <c r="A423" s="169"/>
      <c r="B423" s="273"/>
      <c r="C423" s="378"/>
      <c r="D423" s="588" t="s">
        <v>320</v>
      </c>
      <c r="E423" s="952" t="e">
        <f ca="1">VLOOKUP($D423,Data!$C$2:$H$370,6,FALSE)</f>
        <v>#VALUE!</v>
      </c>
      <c r="F423" s="378"/>
      <c r="G423" s="588" t="s">
        <v>320</v>
      </c>
      <c r="H423" s="949" t="e">
        <f t="shared" ca="1" si="29"/>
        <v>#VALUE!</v>
      </c>
      <c r="I423" s="740" t="str">
        <f t="shared" ca="1" si="25"/>
        <v/>
      </c>
      <c r="J423" s="740" t="str">
        <f t="shared" ca="1" si="26"/>
        <v/>
      </c>
      <c r="K423" s="740" t="str">
        <f t="shared" ca="1" si="27"/>
        <v/>
      </c>
      <c r="L423" s="740" t="str">
        <f t="shared" ca="1" si="28"/>
        <v/>
      </c>
      <c r="M423" s="264"/>
      <c r="N423" s="277"/>
      <c r="O423" s="278"/>
    </row>
    <row r="424" spans="1:15" ht="13.95" customHeight="1" x14ac:dyDescent="0.25">
      <c r="A424" s="169"/>
      <c r="B424" s="273"/>
      <c r="C424" s="378"/>
      <c r="D424" s="588" t="s">
        <v>321</v>
      </c>
      <c r="E424" s="952" t="e">
        <f ca="1">VLOOKUP($D424,Data!$C$2:$H$370,6,FALSE)</f>
        <v>#VALUE!</v>
      </c>
      <c r="F424" s="378"/>
      <c r="G424" s="588" t="s">
        <v>321</v>
      </c>
      <c r="H424" s="949" t="e">
        <f t="shared" ca="1" si="29"/>
        <v>#VALUE!</v>
      </c>
      <c r="I424" s="740" t="str">
        <f t="shared" ca="1" si="25"/>
        <v/>
      </c>
      <c r="J424" s="740" t="str">
        <f t="shared" ca="1" si="26"/>
        <v/>
      </c>
      <c r="K424" s="740" t="str">
        <f t="shared" ca="1" si="27"/>
        <v/>
      </c>
      <c r="L424" s="740" t="str">
        <f t="shared" ca="1" si="28"/>
        <v/>
      </c>
      <c r="M424" s="264"/>
      <c r="N424" s="277"/>
      <c r="O424" s="278"/>
    </row>
    <row r="425" spans="1:15" ht="13.95" customHeight="1" x14ac:dyDescent="0.25">
      <c r="A425" s="169"/>
      <c r="B425" s="273"/>
      <c r="C425" s="378"/>
      <c r="D425" s="588" t="s">
        <v>322</v>
      </c>
      <c r="E425" s="952" t="e">
        <f ca="1">VLOOKUP($D425,Data!$C$2:$H$370,6,FALSE)</f>
        <v>#VALUE!</v>
      </c>
      <c r="F425" s="378"/>
      <c r="G425" s="588" t="s">
        <v>322</v>
      </c>
      <c r="H425" s="949" t="e">
        <f t="shared" ca="1" si="29"/>
        <v>#VALUE!</v>
      </c>
      <c r="I425" s="740" t="str">
        <f t="shared" ca="1" si="25"/>
        <v/>
      </c>
      <c r="J425" s="740" t="str">
        <f t="shared" ca="1" si="26"/>
        <v/>
      </c>
      <c r="K425" s="740" t="str">
        <f t="shared" ca="1" si="27"/>
        <v/>
      </c>
      <c r="L425" s="740" t="str">
        <f t="shared" ca="1" si="28"/>
        <v/>
      </c>
      <c r="M425" s="264"/>
      <c r="N425" s="277"/>
      <c r="O425" s="278"/>
    </row>
    <row r="426" spans="1:15" ht="13.95" customHeight="1" x14ac:dyDescent="0.25">
      <c r="A426" s="169"/>
      <c r="B426" s="273"/>
      <c r="C426" s="378"/>
      <c r="D426" s="588" t="s">
        <v>323</v>
      </c>
      <c r="E426" s="952" t="e">
        <f ca="1">VLOOKUP($D426,Data!$C$2:$H$370,6,FALSE)</f>
        <v>#VALUE!</v>
      </c>
      <c r="F426" s="378"/>
      <c r="G426" s="588" t="s">
        <v>323</v>
      </c>
      <c r="H426" s="949" t="e">
        <f t="shared" ca="1" si="29"/>
        <v>#VALUE!</v>
      </c>
      <c r="I426" s="740" t="str">
        <f t="shared" ca="1" si="25"/>
        <v/>
      </c>
      <c r="J426" s="740" t="str">
        <f t="shared" ca="1" si="26"/>
        <v/>
      </c>
      <c r="K426" s="740" t="str">
        <f t="shared" ca="1" si="27"/>
        <v/>
      </c>
      <c r="L426" s="740" t="str">
        <f t="shared" ca="1" si="28"/>
        <v/>
      </c>
      <c r="M426" s="264"/>
      <c r="N426" s="277"/>
      <c r="O426" s="278"/>
    </row>
    <row r="427" spans="1:15" ht="13.95" customHeight="1" x14ac:dyDescent="0.25">
      <c r="A427" s="169"/>
      <c r="B427" s="273"/>
      <c r="C427" s="378"/>
      <c r="D427" s="588" t="s">
        <v>324</v>
      </c>
      <c r="E427" s="952" t="e">
        <f ca="1">VLOOKUP($D427,Data!$C$2:$H$370,6,FALSE)</f>
        <v>#VALUE!</v>
      </c>
      <c r="F427" s="378"/>
      <c r="G427" s="588" t="s">
        <v>324</v>
      </c>
      <c r="H427" s="949" t="e">
        <f t="shared" ca="1" si="29"/>
        <v>#VALUE!</v>
      </c>
      <c r="I427" s="740" t="str">
        <f t="shared" ca="1" si="25"/>
        <v/>
      </c>
      <c r="J427" s="740" t="str">
        <f t="shared" ca="1" si="26"/>
        <v/>
      </c>
      <c r="K427" s="740" t="str">
        <f t="shared" ca="1" si="27"/>
        <v/>
      </c>
      <c r="L427" s="740" t="str">
        <f t="shared" ca="1" si="28"/>
        <v/>
      </c>
      <c r="M427" s="264"/>
      <c r="N427" s="277"/>
      <c r="O427" s="278"/>
    </row>
    <row r="428" spans="1:15" ht="13.95" customHeight="1" x14ac:dyDescent="0.25">
      <c r="A428" s="169"/>
      <c r="B428" s="273"/>
      <c r="C428" s="378"/>
      <c r="D428" s="588" t="s">
        <v>325</v>
      </c>
      <c r="E428" s="952" t="e">
        <f ca="1">VLOOKUP($D428,Data!$C$2:$H$370,6,FALSE)</f>
        <v>#VALUE!</v>
      </c>
      <c r="F428" s="378"/>
      <c r="G428" s="588" t="s">
        <v>325</v>
      </c>
      <c r="H428" s="949" t="e">
        <f t="shared" ca="1" si="29"/>
        <v>#VALUE!</v>
      </c>
      <c r="I428" s="740" t="str">
        <f t="shared" ca="1" si="25"/>
        <v/>
      </c>
      <c r="J428" s="740" t="str">
        <f t="shared" ca="1" si="26"/>
        <v/>
      </c>
      <c r="K428" s="740" t="str">
        <f t="shared" ca="1" si="27"/>
        <v/>
      </c>
      <c r="L428" s="740" t="str">
        <f t="shared" ca="1" si="28"/>
        <v/>
      </c>
      <c r="M428" s="264"/>
      <c r="N428" s="277"/>
      <c r="O428" s="278"/>
    </row>
    <row r="429" spans="1:15" ht="13.95" customHeight="1" x14ac:dyDescent="0.25">
      <c r="A429" s="169"/>
      <c r="B429" s="273"/>
      <c r="C429" s="378"/>
      <c r="D429" s="588" t="s">
        <v>326</v>
      </c>
      <c r="E429" s="952" t="e">
        <f ca="1">VLOOKUP($D429,Data!$C$2:$H$370,6,FALSE)</f>
        <v>#VALUE!</v>
      </c>
      <c r="F429" s="378"/>
      <c r="G429" s="588" t="s">
        <v>326</v>
      </c>
      <c r="H429" s="949" t="e">
        <f t="shared" ca="1" si="29"/>
        <v>#VALUE!</v>
      </c>
      <c r="I429" s="740" t="str">
        <f t="shared" ca="1" si="25"/>
        <v/>
      </c>
      <c r="J429" s="740" t="str">
        <f t="shared" ca="1" si="26"/>
        <v/>
      </c>
      <c r="K429" s="740" t="str">
        <f t="shared" ca="1" si="27"/>
        <v/>
      </c>
      <c r="L429" s="740" t="str">
        <f t="shared" ca="1" si="28"/>
        <v/>
      </c>
      <c r="M429" s="264"/>
      <c r="N429" s="277"/>
      <c r="O429" s="278"/>
    </row>
    <row r="430" spans="1:15" ht="13.95" customHeight="1" x14ac:dyDescent="0.25">
      <c r="A430" s="169"/>
      <c r="B430" s="273"/>
      <c r="C430" s="378"/>
      <c r="D430" s="588" t="s">
        <v>327</v>
      </c>
      <c r="E430" s="952" t="e">
        <f ca="1">VLOOKUP($D430,Data!$C$2:$H$370,6,FALSE)</f>
        <v>#VALUE!</v>
      </c>
      <c r="F430" s="378"/>
      <c r="G430" s="588" t="s">
        <v>327</v>
      </c>
      <c r="H430" s="949" t="e">
        <f t="shared" ca="1" si="29"/>
        <v>#VALUE!</v>
      </c>
      <c r="I430" s="740" t="str">
        <f t="shared" ca="1" si="25"/>
        <v/>
      </c>
      <c r="J430" s="740" t="str">
        <f t="shared" ca="1" si="26"/>
        <v/>
      </c>
      <c r="K430" s="740" t="str">
        <f t="shared" ca="1" si="27"/>
        <v/>
      </c>
      <c r="L430" s="740" t="str">
        <f t="shared" ca="1" si="28"/>
        <v/>
      </c>
      <c r="M430" s="264"/>
      <c r="N430" s="277"/>
      <c r="O430" s="278"/>
    </row>
    <row r="431" spans="1:15" ht="13.95" customHeight="1" x14ac:dyDescent="0.25">
      <c r="A431" s="169"/>
      <c r="B431" s="273"/>
      <c r="C431" s="378"/>
      <c r="D431" s="588" t="s">
        <v>328</v>
      </c>
      <c r="E431" s="952" t="e">
        <f ca="1">VLOOKUP($D431,Data!$C$2:$H$370,6,FALSE)</f>
        <v>#VALUE!</v>
      </c>
      <c r="F431" s="378"/>
      <c r="G431" s="588" t="s">
        <v>328</v>
      </c>
      <c r="H431" s="949" t="e">
        <f t="shared" ca="1" si="29"/>
        <v>#VALUE!</v>
      </c>
      <c r="I431" s="740" t="str">
        <f t="shared" ca="1" si="25"/>
        <v/>
      </c>
      <c r="J431" s="740" t="str">
        <f t="shared" ca="1" si="26"/>
        <v/>
      </c>
      <c r="K431" s="740" t="str">
        <f t="shared" ca="1" si="27"/>
        <v/>
      </c>
      <c r="L431" s="740" t="str">
        <f t="shared" ca="1" si="28"/>
        <v/>
      </c>
      <c r="M431" s="264"/>
      <c r="N431" s="277"/>
      <c r="O431" s="278"/>
    </row>
    <row r="432" spans="1:15" ht="13.95" customHeight="1" x14ac:dyDescent="0.25">
      <c r="A432" s="169"/>
      <c r="B432" s="273"/>
      <c r="C432" s="378"/>
      <c r="D432" s="588" t="s">
        <v>329</v>
      </c>
      <c r="E432" s="952" t="e">
        <f ca="1">VLOOKUP($D432,Data!$C$2:$H$370,6,FALSE)</f>
        <v>#VALUE!</v>
      </c>
      <c r="F432" s="378"/>
      <c r="G432" s="588" t="s">
        <v>329</v>
      </c>
      <c r="H432" s="949" t="e">
        <f t="shared" ca="1" si="29"/>
        <v>#VALUE!</v>
      </c>
      <c r="I432" s="740" t="str">
        <f t="shared" ca="1" si="25"/>
        <v/>
      </c>
      <c r="J432" s="740" t="str">
        <f t="shared" ca="1" si="26"/>
        <v/>
      </c>
      <c r="K432" s="740" t="str">
        <f t="shared" ca="1" si="27"/>
        <v/>
      </c>
      <c r="L432" s="740" t="str">
        <f t="shared" ca="1" si="28"/>
        <v/>
      </c>
      <c r="M432" s="264"/>
      <c r="N432" s="277"/>
      <c r="O432" s="278"/>
    </row>
    <row r="433" spans="1:15" ht="13.95" customHeight="1" x14ac:dyDescent="0.25">
      <c r="A433" s="169"/>
      <c r="B433" s="273"/>
      <c r="C433" s="378"/>
      <c r="D433" s="588" t="s">
        <v>330</v>
      </c>
      <c r="E433" s="952" t="e">
        <f ca="1">VLOOKUP($D433,Data!$C$2:$H$370,6,FALSE)</f>
        <v>#VALUE!</v>
      </c>
      <c r="F433" s="378"/>
      <c r="G433" s="588" t="s">
        <v>330</v>
      </c>
      <c r="H433" s="949" t="e">
        <f t="shared" ca="1" si="29"/>
        <v>#VALUE!</v>
      </c>
      <c r="I433" s="740" t="str">
        <f t="shared" ca="1" si="25"/>
        <v/>
      </c>
      <c r="J433" s="740" t="str">
        <f t="shared" ca="1" si="26"/>
        <v/>
      </c>
      <c r="K433" s="740" t="str">
        <f t="shared" ca="1" si="27"/>
        <v/>
      </c>
      <c r="L433" s="740" t="str">
        <f t="shared" ca="1" si="28"/>
        <v/>
      </c>
      <c r="M433" s="264"/>
      <c r="N433" s="277"/>
      <c r="O433" s="278"/>
    </row>
    <row r="434" spans="1:15" ht="13.95" customHeight="1" x14ac:dyDescent="0.25">
      <c r="A434" s="169"/>
      <c r="B434" s="273"/>
      <c r="C434" s="378"/>
      <c r="D434" s="588" t="s">
        <v>331</v>
      </c>
      <c r="E434" s="952" t="e">
        <f ca="1">VLOOKUP($D434,Data!$C$2:$H$370,6,FALSE)</f>
        <v>#VALUE!</v>
      </c>
      <c r="F434" s="378"/>
      <c r="G434" s="588" t="s">
        <v>331</v>
      </c>
      <c r="H434" s="949" t="e">
        <f t="shared" ca="1" si="29"/>
        <v>#VALUE!</v>
      </c>
      <c r="I434" s="740" t="str">
        <f t="shared" ca="1" si="25"/>
        <v/>
      </c>
      <c r="J434" s="740" t="str">
        <f t="shared" ca="1" si="26"/>
        <v/>
      </c>
      <c r="K434" s="740" t="str">
        <f t="shared" ca="1" si="27"/>
        <v/>
      </c>
      <c r="L434" s="740" t="str">
        <f t="shared" ca="1" si="28"/>
        <v/>
      </c>
      <c r="M434" s="264"/>
      <c r="N434" s="277"/>
      <c r="O434" s="278"/>
    </row>
    <row r="435" spans="1:15" ht="13.95" customHeight="1" x14ac:dyDescent="0.25">
      <c r="A435" s="169"/>
      <c r="B435" s="273"/>
      <c r="C435" s="378"/>
      <c r="D435" s="588" t="s">
        <v>332</v>
      </c>
      <c r="E435" s="952" t="e">
        <f ca="1">VLOOKUP($D435,Data!$C$2:$H$370,6,FALSE)</f>
        <v>#VALUE!</v>
      </c>
      <c r="F435" s="378"/>
      <c r="G435" s="588" t="s">
        <v>332</v>
      </c>
      <c r="H435" s="949" t="e">
        <f t="shared" ca="1" si="29"/>
        <v>#VALUE!</v>
      </c>
      <c r="I435" s="740" t="str">
        <f t="shared" ca="1" si="25"/>
        <v/>
      </c>
      <c r="J435" s="740" t="str">
        <f t="shared" ca="1" si="26"/>
        <v/>
      </c>
      <c r="K435" s="740" t="str">
        <f t="shared" ca="1" si="27"/>
        <v/>
      </c>
      <c r="L435" s="740" t="str">
        <f t="shared" ca="1" si="28"/>
        <v/>
      </c>
      <c r="M435" s="264"/>
      <c r="N435" s="277"/>
      <c r="O435" s="278"/>
    </row>
    <row r="436" spans="1:15" ht="13.95" customHeight="1" x14ac:dyDescent="0.25">
      <c r="A436" s="169"/>
      <c r="B436" s="273"/>
      <c r="C436" s="378"/>
      <c r="D436" s="588" t="s">
        <v>1077</v>
      </c>
      <c r="E436" s="952" t="e">
        <f ca="1">VLOOKUP($D436,Data!$C$2:$H$370,6,FALSE)</f>
        <v>#VALUE!</v>
      </c>
      <c r="F436" s="378"/>
      <c r="G436" s="588" t="s">
        <v>1077</v>
      </c>
      <c r="H436" s="949" t="e">
        <f t="shared" ca="1" si="29"/>
        <v>#VALUE!</v>
      </c>
      <c r="I436" s="740" t="str">
        <f t="shared" ca="1" si="25"/>
        <v/>
      </c>
      <c r="J436" s="740" t="str">
        <f t="shared" ca="1" si="26"/>
        <v/>
      </c>
      <c r="K436" s="740" t="str">
        <f t="shared" ca="1" si="27"/>
        <v/>
      </c>
      <c r="L436" s="740" t="str">
        <f t="shared" ca="1" si="28"/>
        <v/>
      </c>
      <c r="M436" s="264"/>
      <c r="N436" s="277"/>
      <c r="O436" s="278"/>
    </row>
    <row r="437" spans="1:15" ht="13.95" customHeight="1" x14ac:dyDescent="0.25">
      <c r="A437" s="169"/>
      <c r="B437" s="273"/>
      <c r="C437" s="378"/>
      <c r="D437" s="588" t="s">
        <v>333</v>
      </c>
      <c r="E437" s="952" t="e">
        <f ca="1">VLOOKUP($D437,Data!$C$2:$H$370,6,FALSE)</f>
        <v>#VALUE!</v>
      </c>
      <c r="F437" s="378"/>
      <c r="G437" s="588" t="s">
        <v>333</v>
      </c>
      <c r="H437" s="949" t="e">
        <f t="shared" ca="1" si="29"/>
        <v>#VALUE!</v>
      </c>
      <c r="I437" s="740" t="str">
        <f t="shared" ca="1" si="25"/>
        <v/>
      </c>
      <c r="J437" s="740" t="str">
        <f t="shared" ca="1" si="26"/>
        <v/>
      </c>
      <c r="K437" s="740" t="str">
        <f t="shared" ca="1" si="27"/>
        <v/>
      </c>
      <c r="L437" s="740" t="str">
        <f t="shared" ca="1" si="28"/>
        <v/>
      </c>
      <c r="M437" s="264"/>
      <c r="N437" s="277"/>
      <c r="O437" s="278"/>
    </row>
    <row r="438" spans="1:15" ht="13.95" customHeight="1" x14ac:dyDescent="0.25">
      <c r="A438" s="169"/>
      <c r="B438" s="273"/>
      <c r="C438" s="378"/>
      <c r="D438" s="588" t="s">
        <v>334</v>
      </c>
      <c r="E438" s="952" t="e">
        <f ca="1">VLOOKUP($D438,Data!$C$2:$H$370,6,FALSE)</f>
        <v>#VALUE!</v>
      </c>
      <c r="F438" s="378"/>
      <c r="G438" s="588" t="s">
        <v>334</v>
      </c>
      <c r="H438" s="949" t="e">
        <f t="shared" ca="1" si="29"/>
        <v>#VALUE!</v>
      </c>
      <c r="I438" s="740" t="str">
        <f t="shared" ca="1" si="25"/>
        <v/>
      </c>
      <c r="J438" s="740" t="str">
        <f t="shared" ca="1" si="26"/>
        <v/>
      </c>
      <c r="K438" s="740" t="str">
        <f t="shared" ca="1" si="27"/>
        <v/>
      </c>
      <c r="L438" s="740" t="str">
        <f t="shared" ca="1" si="28"/>
        <v/>
      </c>
      <c r="M438" s="264"/>
      <c r="N438" s="277"/>
      <c r="O438" s="278"/>
    </row>
    <row r="439" spans="1:15" ht="13.95" customHeight="1" x14ac:dyDescent="0.25">
      <c r="A439" s="169"/>
      <c r="B439" s="273"/>
      <c r="C439" s="378"/>
      <c r="D439" s="588" t="s">
        <v>335</v>
      </c>
      <c r="E439" s="952" t="e">
        <f ca="1">VLOOKUP($D439,Data!$C$2:$H$370,6,FALSE)</f>
        <v>#VALUE!</v>
      </c>
      <c r="F439" s="378"/>
      <c r="G439" s="588" t="s">
        <v>335</v>
      </c>
      <c r="H439" s="949" t="e">
        <f t="shared" ca="1" si="29"/>
        <v>#VALUE!</v>
      </c>
      <c r="I439" s="740" t="str">
        <f t="shared" ca="1" si="25"/>
        <v/>
      </c>
      <c r="J439" s="740" t="str">
        <f t="shared" ca="1" si="26"/>
        <v/>
      </c>
      <c r="K439" s="740" t="str">
        <f t="shared" ca="1" si="27"/>
        <v/>
      </c>
      <c r="L439" s="740" t="str">
        <f t="shared" ca="1" si="28"/>
        <v/>
      </c>
      <c r="M439" s="264"/>
      <c r="N439" s="277"/>
      <c r="O439" s="278"/>
    </row>
    <row r="440" spans="1:15" ht="13.95" customHeight="1" x14ac:dyDescent="0.25">
      <c r="A440" s="169"/>
      <c r="B440" s="273"/>
      <c r="C440" s="378"/>
      <c r="D440" s="588" t="s">
        <v>336</v>
      </c>
      <c r="E440" s="952" t="e">
        <f ca="1">VLOOKUP($D440,Data!$C$2:$H$370,6,FALSE)</f>
        <v>#VALUE!</v>
      </c>
      <c r="F440" s="378"/>
      <c r="G440" s="588" t="s">
        <v>336</v>
      </c>
      <c r="H440" s="949" t="e">
        <f t="shared" ca="1" si="29"/>
        <v>#VALUE!</v>
      </c>
      <c r="I440" s="740" t="str">
        <f t="shared" ca="1" si="25"/>
        <v/>
      </c>
      <c r="J440" s="740" t="str">
        <f t="shared" ca="1" si="26"/>
        <v/>
      </c>
      <c r="K440" s="740" t="str">
        <f t="shared" ca="1" si="27"/>
        <v/>
      </c>
      <c r="L440" s="740" t="str">
        <f t="shared" ca="1" si="28"/>
        <v/>
      </c>
      <c r="M440" s="264"/>
      <c r="N440" s="277"/>
      <c r="O440" s="278"/>
    </row>
    <row r="441" spans="1:15" ht="13.95" customHeight="1" x14ac:dyDescent="0.25">
      <c r="A441" s="169"/>
      <c r="B441" s="273"/>
      <c r="C441" s="378"/>
      <c r="D441" s="588" t="s">
        <v>337</v>
      </c>
      <c r="E441" s="952" t="e">
        <f ca="1">VLOOKUP($D441,Data!$C$2:$H$370,6,FALSE)</f>
        <v>#VALUE!</v>
      </c>
      <c r="F441" s="378"/>
      <c r="G441" s="588" t="s">
        <v>337</v>
      </c>
      <c r="H441" s="949" t="e">
        <f t="shared" ca="1" si="29"/>
        <v>#VALUE!</v>
      </c>
      <c r="I441" s="740" t="str">
        <f t="shared" ca="1" si="25"/>
        <v/>
      </c>
      <c r="J441" s="740" t="str">
        <f t="shared" ca="1" si="26"/>
        <v/>
      </c>
      <c r="K441" s="740" t="str">
        <f t="shared" ca="1" si="27"/>
        <v/>
      </c>
      <c r="L441" s="740" t="str">
        <f t="shared" ca="1" si="28"/>
        <v/>
      </c>
      <c r="M441" s="264"/>
      <c r="N441" s="277"/>
      <c r="O441" s="278"/>
    </row>
    <row r="442" spans="1:15" ht="13.95" customHeight="1" x14ac:dyDescent="0.25">
      <c r="A442" s="169"/>
      <c r="B442" s="273"/>
      <c r="C442" s="378"/>
      <c r="D442" s="588" t="s">
        <v>338</v>
      </c>
      <c r="E442" s="952" t="e">
        <f ca="1">VLOOKUP($D442,Data!$C$2:$H$370,6,FALSE)</f>
        <v>#VALUE!</v>
      </c>
      <c r="F442" s="378"/>
      <c r="G442" s="588" t="s">
        <v>338</v>
      </c>
      <c r="H442" s="949" t="e">
        <f t="shared" ca="1" si="29"/>
        <v>#VALUE!</v>
      </c>
      <c r="I442" s="740" t="str">
        <f t="shared" ca="1" si="25"/>
        <v/>
      </c>
      <c r="J442" s="740" t="str">
        <f t="shared" ca="1" si="26"/>
        <v/>
      </c>
      <c r="K442" s="740" t="str">
        <f t="shared" ca="1" si="27"/>
        <v/>
      </c>
      <c r="L442" s="740" t="str">
        <f t="shared" ca="1" si="28"/>
        <v/>
      </c>
      <c r="M442" s="264"/>
      <c r="N442" s="277"/>
      <c r="O442" s="278"/>
    </row>
    <row r="443" spans="1:15" ht="13.95" customHeight="1" x14ac:dyDescent="0.25">
      <c r="A443" s="169"/>
      <c r="B443" s="273"/>
      <c r="C443" s="378"/>
      <c r="D443" s="588" t="s">
        <v>339</v>
      </c>
      <c r="E443" s="952" t="e">
        <f ca="1">VLOOKUP($D443,Data!$C$2:$H$370,6,FALSE)</f>
        <v>#VALUE!</v>
      </c>
      <c r="F443" s="378"/>
      <c r="G443" s="588" t="s">
        <v>339</v>
      </c>
      <c r="H443" s="949" t="e">
        <f t="shared" ca="1" si="29"/>
        <v>#VALUE!</v>
      </c>
      <c r="I443" s="740" t="str">
        <f t="shared" ca="1" si="25"/>
        <v/>
      </c>
      <c r="J443" s="740" t="str">
        <f t="shared" ca="1" si="26"/>
        <v/>
      </c>
      <c r="K443" s="740" t="str">
        <f t="shared" ca="1" si="27"/>
        <v/>
      </c>
      <c r="L443" s="740" t="str">
        <f t="shared" ca="1" si="28"/>
        <v/>
      </c>
      <c r="M443" s="264"/>
      <c r="N443" s="277"/>
      <c r="O443" s="278"/>
    </row>
    <row r="444" spans="1:15" ht="13.95" customHeight="1" x14ac:dyDescent="0.25">
      <c r="A444" s="169"/>
      <c r="B444" s="273"/>
      <c r="C444" s="378"/>
      <c r="D444" s="588" t="s">
        <v>340</v>
      </c>
      <c r="E444" s="952" t="e">
        <f ca="1">VLOOKUP($D444,Data!$C$2:$H$370,6,FALSE)</f>
        <v>#VALUE!</v>
      </c>
      <c r="F444" s="378"/>
      <c r="G444" s="588" t="s">
        <v>340</v>
      </c>
      <c r="H444" s="949" t="e">
        <f t="shared" ca="1" si="29"/>
        <v>#VALUE!</v>
      </c>
      <c r="I444" s="740" t="str">
        <f t="shared" ca="1" si="25"/>
        <v/>
      </c>
      <c r="J444" s="740" t="str">
        <f t="shared" ca="1" si="26"/>
        <v/>
      </c>
      <c r="K444" s="740" t="str">
        <f t="shared" ca="1" si="27"/>
        <v/>
      </c>
      <c r="L444" s="740" t="str">
        <f t="shared" ca="1" si="28"/>
        <v/>
      </c>
      <c r="M444" s="264"/>
      <c r="N444" s="277"/>
      <c r="O444" s="278"/>
    </row>
    <row r="445" spans="1:15" ht="13.95" customHeight="1" x14ac:dyDescent="0.25">
      <c r="A445" s="169"/>
      <c r="B445" s="273"/>
      <c r="C445" s="378"/>
      <c r="D445" s="588" t="s">
        <v>341</v>
      </c>
      <c r="E445" s="952" t="e">
        <f ca="1">VLOOKUP($D445,Data!$C$2:$H$370,6,FALSE)</f>
        <v>#VALUE!</v>
      </c>
      <c r="F445" s="378"/>
      <c r="G445" s="588" t="s">
        <v>341</v>
      </c>
      <c r="H445" s="949" t="e">
        <f t="shared" ca="1" si="29"/>
        <v>#VALUE!</v>
      </c>
      <c r="I445" s="740" t="str">
        <f t="shared" ca="1" si="25"/>
        <v/>
      </c>
      <c r="J445" s="740" t="str">
        <f t="shared" ca="1" si="26"/>
        <v/>
      </c>
      <c r="K445" s="740" t="str">
        <f t="shared" ca="1" si="27"/>
        <v/>
      </c>
      <c r="L445" s="740" t="str">
        <f t="shared" ca="1" si="28"/>
        <v/>
      </c>
      <c r="M445" s="264"/>
      <c r="N445" s="277"/>
      <c r="O445" s="278"/>
    </row>
    <row r="446" spans="1:15" ht="13.95" customHeight="1" x14ac:dyDescent="0.25">
      <c r="A446" s="169"/>
      <c r="B446" s="273"/>
      <c r="C446" s="378"/>
      <c r="D446" s="588" t="s">
        <v>342</v>
      </c>
      <c r="E446" s="952" t="e">
        <f ca="1">VLOOKUP($D446,Data!$C$2:$H$370,6,FALSE)</f>
        <v>#VALUE!</v>
      </c>
      <c r="F446" s="378"/>
      <c r="G446" s="588" t="s">
        <v>342</v>
      </c>
      <c r="H446" s="949" t="e">
        <f t="shared" ca="1" si="29"/>
        <v>#VALUE!</v>
      </c>
      <c r="I446" s="740" t="str">
        <f t="shared" ca="1" si="25"/>
        <v/>
      </c>
      <c r="J446" s="740" t="str">
        <f t="shared" ca="1" si="26"/>
        <v/>
      </c>
      <c r="K446" s="740" t="str">
        <f t="shared" ca="1" si="27"/>
        <v/>
      </c>
      <c r="L446" s="740" t="str">
        <f t="shared" ca="1" si="28"/>
        <v/>
      </c>
      <c r="M446" s="264"/>
      <c r="N446" s="277"/>
      <c r="O446" s="278"/>
    </row>
    <row r="447" spans="1:15" ht="13.95" customHeight="1" x14ac:dyDescent="0.25">
      <c r="A447" s="169"/>
      <c r="B447" s="273"/>
      <c r="C447" s="378"/>
      <c r="D447" s="588" t="s">
        <v>343</v>
      </c>
      <c r="E447" s="952" t="e">
        <f ca="1">VLOOKUP($D447,Data!$C$2:$H$370,6,FALSE)</f>
        <v>#VALUE!</v>
      </c>
      <c r="F447" s="378"/>
      <c r="G447" s="588" t="s">
        <v>343</v>
      </c>
      <c r="H447" s="949" t="e">
        <f t="shared" ca="1" si="29"/>
        <v>#VALUE!</v>
      </c>
      <c r="I447" s="740" t="str">
        <f t="shared" ca="1" si="25"/>
        <v/>
      </c>
      <c r="J447" s="740" t="str">
        <f t="shared" ca="1" si="26"/>
        <v/>
      </c>
      <c r="K447" s="740" t="str">
        <f t="shared" ca="1" si="27"/>
        <v/>
      </c>
      <c r="L447" s="740" t="str">
        <f t="shared" ca="1" si="28"/>
        <v/>
      </c>
      <c r="M447" s="264"/>
      <c r="N447" s="277"/>
      <c r="O447" s="278"/>
    </row>
    <row r="448" spans="1:15" ht="13.95" customHeight="1" x14ac:dyDescent="0.25">
      <c r="A448" s="169"/>
      <c r="B448" s="273"/>
      <c r="C448" s="378"/>
      <c r="D448" s="588" t="s">
        <v>932</v>
      </c>
      <c r="E448" s="952">
        <f>Investment!$K8</f>
        <v>0</v>
      </c>
      <c r="F448" s="378"/>
      <c r="G448" s="588" t="s">
        <v>932</v>
      </c>
      <c r="H448" s="949">
        <f>Investment!$K8</f>
        <v>0</v>
      </c>
      <c r="I448" s="718" t="s">
        <v>1744</v>
      </c>
      <c r="J448" s="718" t="s">
        <v>1744</v>
      </c>
      <c r="K448" s="718" t="s">
        <v>1744</v>
      </c>
      <c r="L448" s="718" t="s">
        <v>1744</v>
      </c>
      <c r="M448" s="264"/>
      <c r="N448" s="277"/>
      <c r="O448" s="278"/>
    </row>
    <row r="449" spans="1:15" ht="13.95" customHeight="1" x14ac:dyDescent="0.25">
      <c r="A449" s="169"/>
      <c r="B449" s="273"/>
      <c r="C449" s="378"/>
      <c r="D449" s="588" t="s">
        <v>933</v>
      </c>
      <c r="E449" s="952">
        <f>Investment!$K9</f>
        <v>0</v>
      </c>
      <c r="F449" s="378"/>
      <c r="G449" s="588" t="s">
        <v>933</v>
      </c>
      <c r="H449" s="949">
        <f>Investment!$K9</f>
        <v>0</v>
      </c>
      <c r="I449" s="718" t="s">
        <v>1744</v>
      </c>
      <c r="J449" s="718" t="s">
        <v>1744</v>
      </c>
      <c r="K449" s="718" t="s">
        <v>1744</v>
      </c>
      <c r="L449" s="718" t="s">
        <v>1744</v>
      </c>
      <c r="M449" s="264"/>
      <c r="N449" s="277"/>
      <c r="O449" s="278"/>
    </row>
    <row r="450" spans="1:15" ht="13.95" customHeight="1" x14ac:dyDescent="0.25">
      <c r="A450" s="169"/>
      <c r="B450" s="273"/>
      <c r="C450" s="378"/>
      <c r="D450" s="588" t="s">
        <v>934</v>
      </c>
      <c r="E450" s="952">
        <f>Investment!$K10</f>
        <v>0</v>
      </c>
      <c r="F450" s="378"/>
      <c r="G450" s="588" t="s">
        <v>934</v>
      </c>
      <c r="H450" s="949">
        <f>Investment!$K10</f>
        <v>0</v>
      </c>
      <c r="I450" s="718" t="s">
        <v>1744</v>
      </c>
      <c r="J450" s="718" t="s">
        <v>1744</v>
      </c>
      <c r="K450" s="718" t="s">
        <v>1744</v>
      </c>
      <c r="L450" s="718" t="s">
        <v>1744</v>
      </c>
      <c r="M450" s="264"/>
      <c r="N450" s="277"/>
      <c r="O450" s="278"/>
    </row>
    <row r="451" spans="1:15" ht="13.95" customHeight="1" x14ac:dyDescent="0.25">
      <c r="A451" s="169"/>
      <c r="B451" s="273"/>
      <c r="C451" s="378"/>
      <c r="D451" s="588" t="s">
        <v>935</v>
      </c>
      <c r="E451" s="952">
        <f>Investment!$K11</f>
        <v>0</v>
      </c>
      <c r="F451" s="378"/>
      <c r="G451" s="588" t="s">
        <v>935</v>
      </c>
      <c r="H451" s="949">
        <f>Investment!$K11</f>
        <v>0</v>
      </c>
      <c r="I451" s="718" t="s">
        <v>1744</v>
      </c>
      <c r="J451" s="718" t="s">
        <v>1744</v>
      </c>
      <c r="K451" s="718" t="s">
        <v>1744</v>
      </c>
      <c r="L451" s="718" t="s">
        <v>1744</v>
      </c>
      <c r="M451" s="264"/>
      <c r="N451" s="277"/>
      <c r="O451" s="278"/>
    </row>
    <row r="452" spans="1:15" ht="13.95" customHeight="1" x14ac:dyDescent="0.25">
      <c r="A452" s="169"/>
      <c r="B452" s="273"/>
      <c r="C452" s="378"/>
      <c r="D452" s="588" t="s">
        <v>936</v>
      </c>
      <c r="E452" s="952">
        <f>Investment!$K12</f>
        <v>0</v>
      </c>
      <c r="F452" s="378"/>
      <c r="G452" s="588" t="s">
        <v>936</v>
      </c>
      <c r="H452" s="949">
        <f>Investment!$K12</f>
        <v>0</v>
      </c>
      <c r="I452" s="718" t="s">
        <v>1744</v>
      </c>
      <c r="J452" s="718" t="s">
        <v>1744</v>
      </c>
      <c r="K452" s="718" t="s">
        <v>1744</v>
      </c>
      <c r="L452" s="718" t="s">
        <v>1744</v>
      </c>
      <c r="M452" s="264"/>
      <c r="N452" s="277"/>
      <c r="O452" s="278"/>
    </row>
    <row r="453" spans="1:15" ht="13.95" customHeight="1" x14ac:dyDescent="0.25">
      <c r="A453" s="169"/>
      <c r="B453" s="273"/>
      <c r="C453" s="378"/>
      <c r="D453" s="588" t="s">
        <v>937</v>
      </c>
      <c r="E453" s="952">
        <f>Investment!$K13</f>
        <v>0</v>
      </c>
      <c r="F453" s="378"/>
      <c r="G453" s="588" t="s">
        <v>937</v>
      </c>
      <c r="H453" s="949">
        <f>Investment!$K13</f>
        <v>0</v>
      </c>
      <c r="I453" s="718" t="s">
        <v>1744</v>
      </c>
      <c r="J453" s="718" t="s">
        <v>1744</v>
      </c>
      <c r="K453" s="718" t="s">
        <v>1744</v>
      </c>
      <c r="L453" s="718" t="s">
        <v>1744</v>
      </c>
      <c r="M453" s="264"/>
      <c r="N453" s="277"/>
      <c r="O453" s="278"/>
    </row>
    <row r="454" spans="1:15" ht="13.95" customHeight="1" x14ac:dyDescent="0.25">
      <c r="A454" s="169"/>
      <c r="B454" s="273"/>
      <c r="C454" s="378"/>
      <c r="D454" s="588" t="s">
        <v>938</v>
      </c>
      <c r="E454" s="952">
        <f>Investment!$K14</f>
        <v>0</v>
      </c>
      <c r="F454" s="378"/>
      <c r="G454" s="588" t="s">
        <v>938</v>
      </c>
      <c r="H454" s="949">
        <f>Investment!$K14</f>
        <v>0</v>
      </c>
      <c r="I454" s="718" t="s">
        <v>1744</v>
      </c>
      <c r="J454" s="718" t="s">
        <v>1744</v>
      </c>
      <c r="K454" s="718" t="s">
        <v>1744</v>
      </c>
      <c r="L454" s="718" t="s">
        <v>1744</v>
      </c>
      <c r="M454" s="264"/>
      <c r="N454" s="277"/>
      <c r="O454" s="278"/>
    </row>
    <row r="455" spans="1:15" ht="13.95" customHeight="1" x14ac:dyDescent="0.25">
      <c r="A455" s="169"/>
      <c r="B455" s="273"/>
      <c r="C455" s="378"/>
      <c r="D455" s="588" t="s">
        <v>939</v>
      </c>
      <c r="E455" s="952">
        <f>Investment!$K15</f>
        <v>0</v>
      </c>
      <c r="F455" s="378"/>
      <c r="G455" s="588" t="s">
        <v>939</v>
      </c>
      <c r="H455" s="949">
        <f>Investment!$K15</f>
        <v>0</v>
      </c>
      <c r="I455" s="718" t="s">
        <v>1744</v>
      </c>
      <c r="J455" s="718" t="s">
        <v>1744</v>
      </c>
      <c r="K455" s="718" t="s">
        <v>1744</v>
      </c>
      <c r="L455" s="718" t="s">
        <v>1744</v>
      </c>
      <c r="M455" s="264"/>
      <c r="N455" s="277"/>
      <c r="O455" s="278"/>
    </row>
    <row r="456" spans="1:15" ht="13.95" customHeight="1" x14ac:dyDescent="0.25">
      <c r="A456" s="169"/>
      <c r="B456" s="273"/>
      <c r="C456" s="378"/>
      <c r="D456" s="588" t="s">
        <v>940</v>
      </c>
      <c r="E456" s="952">
        <f>Investment!$K16</f>
        <v>0</v>
      </c>
      <c r="F456" s="378"/>
      <c r="G456" s="588" t="s">
        <v>940</v>
      </c>
      <c r="H456" s="949">
        <f>Investment!$K16</f>
        <v>0</v>
      </c>
      <c r="I456" s="718" t="s">
        <v>1744</v>
      </c>
      <c r="J456" s="718" t="s">
        <v>1744</v>
      </c>
      <c r="K456" s="718" t="s">
        <v>1744</v>
      </c>
      <c r="L456" s="718" t="s">
        <v>1744</v>
      </c>
      <c r="M456" s="264"/>
      <c r="N456" s="277"/>
      <c r="O456" s="278"/>
    </row>
    <row r="457" spans="1:15" ht="13.95" customHeight="1" x14ac:dyDescent="0.25">
      <c r="A457" s="169"/>
      <c r="B457" s="273"/>
      <c r="C457" s="378"/>
      <c r="D457" s="588" t="s">
        <v>941</v>
      </c>
      <c r="E457" s="952">
        <f>Investment!$K17</f>
        <v>0</v>
      </c>
      <c r="F457" s="378"/>
      <c r="G457" s="588" t="s">
        <v>941</v>
      </c>
      <c r="H457" s="949">
        <f>Investment!$K17</f>
        <v>0</v>
      </c>
      <c r="I457" s="718" t="s">
        <v>1744</v>
      </c>
      <c r="J457" s="718" t="s">
        <v>1744</v>
      </c>
      <c r="K457" s="718" t="s">
        <v>1744</v>
      </c>
      <c r="L457" s="718" t="s">
        <v>1744</v>
      </c>
      <c r="M457" s="264"/>
      <c r="N457" s="277"/>
      <c r="O457" s="278"/>
    </row>
    <row r="458" spans="1:15" ht="13.95" customHeight="1" x14ac:dyDescent="0.25">
      <c r="A458" s="278"/>
      <c r="B458" s="741"/>
      <c r="C458" s="342"/>
      <c r="D458" s="588" t="s">
        <v>942</v>
      </c>
      <c r="E458" s="952">
        <f>Investment!$K18</f>
        <v>0</v>
      </c>
      <c r="F458" s="342"/>
      <c r="G458" s="588" t="s">
        <v>942</v>
      </c>
      <c r="H458" s="949">
        <f>Investment!$K18</f>
        <v>0</v>
      </c>
      <c r="I458" s="718" t="s">
        <v>1744</v>
      </c>
      <c r="J458" s="718" t="s">
        <v>1744</v>
      </c>
      <c r="K458" s="718" t="s">
        <v>1744</v>
      </c>
      <c r="L458" s="718" t="s">
        <v>1744</v>
      </c>
      <c r="M458" s="342"/>
      <c r="N458" s="277"/>
      <c r="O458" s="278"/>
    </row>
    <row r="459" spans="1:15" ht="13.95" customHeight="1" x14ac:dyDescent="0.25">
      <c r="A459" s="184"/>
      <c r="B459" s="742"/>
      <c r="C459" s="727"/>
      <c r="D459" s="588" t="s">
        <v>943</v>
      </c>
      <c r="E459" s="952">
        <f>Investment!$L8</f>
        <v>0</v>
      </c>
      <c r="F459" s="727"/>
      <c r="G459" s="588" t="s">
        <v>943</v>
      </c>
      <c r="H459" s="949">
        <f>Investment!$L8</f>
        <v>0</v>
      </c>
      <c r="I459" s="718" t="s">
        <v>1744</v>
      </c>
      <c r="J459" s="718" t="s">
        <v>1744</v>
      </c>
      <c r="K459" s="718" t="s">
        <v>1744</v>
      </c>
      <c r="L459" s="718" t="s">
        <v>1744</v>
      </c>
      <c r="M459" s="727"/>
      <c r="N459" s="743"/>
      <c r="O459" s="278"/>
    </row>
    <row r="460" spans="1:15" ht="13.95" customHeight="1" x14ac:dyDescent="0.25">
      <c r="A460" s="184"/>
      <c r="B460" s="160"/>
      <c r="C460" s="264"/>
      <c r="D460" s="588" t="s">
        <v>944</v>
      </c>
      <c r="E460" s="952">
        <f>Investment!$L9</f>
        <v>0</v>
      </c>
      <c r="F460" s="264"/>
      <c r="G460" s="588" t="s">
        <v>944</v>
      </c>
      <c r="H460" s="949">
        <f>Investment!$L9</f>
        <v>0</v>
      </c>
      <c r="I460" s="718" t="s">
        <v>1744</v>
      </c>
      <c r="J460" s="718" t="s">
        <v>1744</v>
      </c>
      <c r="K460" s="718" t="s">
        <v>1744</v>
      </c>
      <c r="L460" s="718" t="s">
        <v>1744</v>
      </c>
      <c r="M460" s="264"/>
      <c r="N460" s="744"/>
      <c r="O460" s="278"/>
    </row>
    <row r="461" spans="1:15" ht="13.95" customHeight="1" x14ac:dyDescent="0.25">
      <c r="A461" s="184"/>
      <c r="B461" s="160"/>
      <c r="C461" s="264"/>
      <c r="D461" s="588" t="s">
        <v>945</v>
      </c>
      <c r="E461" s="952">
        <f>Investment!$L10</f>
        <v>0</v>
      </c>
      <c r="F461" s="264"/>
      <c r="G461" s="588" t="s">
        <v>945</v>
      </c>
      <c r="H461" s="949">
        <f>Investment!$L10</f>
        <v>0</v>
      </c>
      <c r="I461" s="718" t="s">
        <v>1744</v>
      </c>
      <c r="J461" s="718" t="s">
        <v>1744</v>
      </c>
      <c r="K461" s="718" t="s">
        <v>1744</v>
      </c>
      <c r="L461" s="718" t="s">
        <v>1744</v>
      </c>
      <c r="M461" s="264"/>
      <c r="N461" s="744"/>
      <c r="O461" s="278"/>
    </row>
    <row r="462" spans="1:15" ht="13.95" customHeight="1" x14ac:dyDescent="0.25">
      <c r="A462" s="184"/>
      <c r="B462" s="160"/>
      <c r="C462" s="264"/>
      <c r="D462" s="588" t="s">
        <v>946</v>
      </c>
      <c r="E462" s="952">
        <f>Investment!$L11</f>
        <v>0</v>
      </c>
      <c r="F462" s="264"/>
      <c r="G462" s="588" t="s">
        <v>946</v>
      </c>
      <c r="H462" s="949">
        <f>Investment!$L11</f>
        <v>0</v>
      </c>
      <c r="I462" s="718" t="s">
        <v>1744</v>
      </c>
      <c r="J462" s="718" t="s">
        <v>1744</v>
      </c>
      <c r="K462" s="718" t="s">
        <v>1744</v>
      </c>
      <c r="L462" s="718" t="s">
        <v>1744</v>
      </c>
      <c r="M462" s="264"/>
      <c r="N462" s="744"/>
      <c r="O462" s="278"/>
    </row>
    <row r="463" spans="1:15" ht="13.95" customHeight="1" x14ac:dyDescent="0.25">
      <c r="A463" s="184"/>
      <c r="B463" s="160"/>
      <c r="C463" s="264"/>
      <c r="D463" s="588" t="s">
        <v>947</v>
      </c>
      <c r="E463" s="952">
        <f>Investment!$L12</f>
        <v>0</v>
      </c>
      <c r="F463" s="264"/>
      <c r="G463" s="588" t="s">
        <v>947</v>
      </c>
      <c r="H463" s="949">
        <f>Investment!$L12</f>
        <v>0</v>
      </c>
      <c r="I463" s="718" t="s">
        <v>1744</v>
      </c>
      <c r="J463" s="718" t="s">
        <v>1744</v>
      </c>
      <c r="K463" s="718" t="s">
        <v>1744</v>
      </c>
      <c r="L463" s="718" t="s">
        <v>1744</v>
      </c>
      <c r="M463" s="264"/>
      <c r="N463" s="744"/>
      <c r="O463" s="278"/>
    </row>
    <row r="464" spans="1:15" ht="13.95" customHeight="1" x14ac:dyDescent="0.25">
      <c r="A464" s="184"/>
      <c r="B464" s="160"/>
      <c r="C464" s="264"/>
      <c r="D464" s="588" t="s">
        <v>948</v>
      </c>
      <c r="E464" s="952">
        <f>Investment!$L13</f>
        <v>0</v>
      </c>
      <c r="F464" s="264"/>
      <c r="G464" s="588" t="s">
        <v>948</v>
      </c>
      <c r="H464" s="949">
        <f>Investment!$L13</f>
        <v>0</v>
      </c>
      <c r="I464" s="718" t="s">
        <v>1744</v>
      </c>
      <c r="J464" s="718" t="s">
        <v>1744</v>
      </c>
      <c r="K464" s="718" t="s">
        <v>1744</v>
      </c>
      <c r="L464" s="718" t="s">
        <v>1744</v>
      </c>
      <c r="M464" s="264"/>
      <c r="N464" s="744"/>
      <c r="O464" s="278"/>
    </row>
    <row r="465" spans="1:15" ht="13.95" customHeight="1" x14ac:dyDescent="0.25">
      <c r="A465" s="184"/>
      <c r="B465" s="160"/>
      <c r="C465" s="264"/>
      <c r="D465" s="588" t="s">
        <v>949</v>
      </c>
      <c r="E465" s="952">
        <f>Investment!$L14</f>
        <v>0</v>
      </c>
      <c r="F465" s="264"/>
      <c r="G465" s="588" t="s">
        <v>949</v>
      </c>
      <c r="H465" s="949">
        <f>Investment!$L14</f>
        <v>0</v>
      </c>
      <c r="I465" s="718" t="s">
        <v>1744</v>
      </c>
      <c r="J465" s="718" t="s">
        <v>1744</v>
      </c>
      <c r="K465" s="718" t="s">
        <v>1744</v>
      </c>
      <c r="L465" s="718" t="s">
        <v>1744</v>
      </c>
      <c r="M465" s="264"/>
      <c r="N465" s="744"/>
      <c r="O465" s="278"/>
    </row>
    <row r="466" spans="1:15" ht="13.95" customHeight="1" x14ac:dyDescent="0.25">
      <c r="A466" s="184"/>
      <c r="B466" s="160"/>
      <c r="C466" s="264"/>
      <c r="D466" s="588" t="s">
        <v>950</v>
      </c>
      <c r="E466" s="953">
        <f>Investment!$L15</f>
        <v>0</v>
      </c>
      <c r="F466" s="264"/>
      <c r="G466" s="588" t="s">
        <v>950</v>
      </c>
      <c r="H466" s="950">
        <f>Investment!$L15</f>
        <v>0</v>
      </c>
      <c r="I466" s="586" t="s">
        <v>1744</v>
      </c>
      <c r="J466" s="586" t="s">
        <v>1744</v>
      </c>
      <c r="K466" s="586" t="s">
        <v>1744</v>
      </c>
      <c r="L466" s="586" t="s">
        <v>1744</v>
      </c>
      <c r="M466" s="264"/>
      <c r="N466" s="744"/>
      <c r="O466" s="278"/>
    </row>
    <row r="467" spans="1:15" ht="13.95" customHeight="1" x14ac:dyDescent="0.25">
      <c r="A467" s="184"/>
      <c r="B467" s="160"/>
      <c r="C467" s="264"/>
      <c r="D467" s="588" t="s">
        <v>951</v>
      </c>
      <c r="E467" s="953">
        <f>Investment!$L16</f>
        <v>0</v>
      </c>
      <c r="F467" s="264"/>
      <c r="G467" s="588" t="s">
        <v>951</v>
      </c>
      <c r="H467" s="950">
        <f>Investment!$L16</f>
        <v>0</v>
      </c>
      <c r="I467" s="586" t="s">
        <v>1744</v>
      </c>
      <c r="J467" s="586" t="s">
        <v>1744</v>
      </c>
      <c r="K467" s="586" t="s">
        <v>1744</v>
      </c>
      <c r="L467" s="586" t="s">
        <v>1744</v>
      </c>
      <c r="M467" s="264"/>
      <c r="N467" s="744"/>
      <c r="O467" s="278"/>
    </row>
    <row r="468" spans="1:15" ht="13.95" customHeight="1" x14ac:dyDescent="0.25">
      <c r="A468" s="184"/>
      <c r="B468" s="160"/>
      <c r="C468" s="264"/>
      <c r="D468" s="588" t="s">
        <v>952</v>
      </c>
      <c r="E468" s="953">
        <f>Investment!$L17</f>
        <v>0</v>
      </c>
      <c r="F468" s="264"/>
      <c r="G468" s="588" t="s">
        <v>952</v>
      </c>
      <c r="H468" s="950">
        <f>Investment!$L17</f>
        <v>0</v>
      </c>
      <c r="I468" s="586" t="s">
        <v>1744</v>
      </c>
      <c r="J468" s="586" t="s">
        <v>1744</v>
      </c>
      <c r="K468" s="586" t="s">
        <v>1744</v>
      </c>
      <c r="L468" s="586" t="s">
        <v>1744</v>
      </c>
      <c r="M468" s="264"/>
      <c r="N468" s="744"/>
      <c r="O468" s="278"/>
    </row>
    <row r="469" spans="1:15" ht="13.95" customHeight="1" x14ac:dyDescent="0.25">
      <c r="A469" s="184"/>
      <c r="B469" s="160"/>
      <c r="C469" s="264"/>
      <c r="D469" s="588" t="s">
        <v>953</v>
      </c>
      <c r="E469" s="953">
        <f>Investment!$L18</f>
        <v>0</v>
      </c>
      <c r="F469" s="264"/>
      <c r="G469" s="588" t="s">
        <v>953</v>
      </c>
      <c r="H469" s="950">
        <f>Investment!$L18</f>
        <v>0</v>
      </c>
      <c r="I469" s="586" t="s">
        <v>1744</v>
      </c>
      <c r="J469" s="586" t="s">
        <v>1744</v>
      </c>
      <c r="K469" s="586" t="s">
        <v>1744</v>
      </c>
      <c r="L469" s="586" t="s">
        <v>1744</v>
      </c>
      <c r="M469" s="264"/>
      <c r="N469" s="744"/>
      <c r="O469" s="278"/>
    </row>
    <row r="470" spans="1:15" ht="13.95" customHeight="1" x14ac:dyDescent="0.25">
      <c r="A470" s="278"/>
      <c r="B470" s="745"/>
      <c r="C470" s="738"/>
      <c r="D470" s="588"/>
      <c r="E470" s="952"/>
      <c r="F470" s="738"/>
      <c r="G470" s="739"/>
      <c r="H470" s="951"/>
      <c r="I470" s="718"/>
      <c r="J470" s="718"/>
      <c r="K470" s="718"/>
      <c r="L470" s="718"/>
      <c r="M470" s="264"/>
      <c r="N470" s="744"/>
      <c r="O470" s="278"/>
    </row>
    <row r="471" spans="1:15" ht="13.95" customHeight="1" x14ac:dyDescent="0.25">
      <c r="A471" s="278"/>
      <c r="B471" s="160"/>
      <c r="C471" s="264"/>
      <c r="D471" s="588"/>
      <c r="E471" s="952"/>
      <c r="F471" s="264"/>
      <c r="G471" s="739"/>
      <c r="H471" s="951"/>
      <c r="I471" s="718"/>
      <c r="J471" s="718"/>
      <c r="K471" s="718"/>
      <c r="L471" s="718"/>
      <c r="M471" s="264"/>
      <c r="N471" s="744"/>
      <c r="O471" s="278"/>
    </row>
    <row r="472" spans="1:15" ht="13.95" customHeight="1" x14ac:dyDescent="0.25">
      <c r="A472" s="278"/>
      <c r="B472" s="160"/>
      <c r="C472" s="264"/>
      <c r="D472" s="1133"/>
      <c r="E472" s="1134"/>
      <c r="F472" s="264"/>
      <c r="G472" s="739"/>
      <c r="H472" s="951"/>
      <c r="I472" s="718"/>
      <c r="J472" s="718"/>
      <c r="K472" s="718"/>
      <c r="L472" s="718"/>
      <c r="M472" s="264"/>
      <c r="N472" s="744"/>
      <c r="O472" s="278"/>
    </row>
    <row r="473" spans="1:15" ht="13.95" customHeight="1" x14ac:dyDescent="0.25">
      <c r="A473" s="278"/>
      <c r="B473" s="160"/>
      <c r="C473" s="264"/>
      <c r="D473" s="588"/>
      <c r="E473" s="952"/>
      <c r="F473" s="264"/>
      <c r="G473" s="739"/>
      <c r="H473" s="951"/>
      <c r="I473" s="718"/>
      <c r="J473" s="718"/>
      <c r="K473" s="718"/>
      <c r="L473" s="718"/>
      <c r="M473" s="264"/>
      <c r="N473" s="744"/>
      <c r="O473" s="278"/>
    </row>
    <row r="474" spans="1:15" ht="13.95" customHeight="1" x14ac:dyDescent="0.25">
      <c r="A474" s="278"/>
      <c r="B474" s="160"/>
      <c r="C474" s="264"/>
      <c r="D474" s="588"/>
      <c r="E474" s="952"/>
      <c r="F474" s="264"/>
      <c r="G474" s="739"/>
      <c r="H474" s="951"/>
      <c r="I474" s="718"/>
      <c r="J474" s="718"/>
      <c r="K474" s="718"/>
      <c r="L474" s="718"/>
      <c r="M474" s="264"/>
      <c r="N474" s="744"/>
      <c r="O474" s="278"/>
    </row>
    <row r="475" spans="1:15" ht="13.95" customHeight="1" x14ac:dyDescent="0.25">
      <c r="A475" s="278"/>
      <c r="B475" s="160"/>
      <c r="C475" s="264"/>
      <c r="D475" s="588"/>
      <c r="E475" s="952"/>
      <c r="F475" s="264"/>
      <c r="G475" s="739"/>
      <c r="H475" s="951"/>
      <c r="I475" s="718"/>
      <c r="J475" s="718"/>
      <c r="K475" s="718"/>
      <c r="L475" s="718"/>
      <c r="M475" s="264"/>
      <c r="N475" s="744"/>
      <c r="O475" s="278"/>
    </row>
    <row r="476" spans="1:15" ht="13.95" customHeight="1" x14ac:dyDescent="0.25">
      <c r="A476" s="278"/>
      <c r="B476" s="160"/>
      <c r="C476" s="264"/>
      <c r="D476" s="264"/>
      <c r="E476" s="444"/>
      <c r="F476" s="264"/>
      <c r="G476" s="264"/>
      <c r="H476" s="264"/>
      <c r="I476" s="264"/>
      <c r="J476" s="264"/>
      <c r="K476" s="264"/>
      <c r="L476" s="264"/>
      <c r="M476" s="264"/>
      <c r="N476" s="744"/>
      <c r="O476" s="278"/>
    </row>
    <row r="477" spans="1:15" ht="13.95" customHeight="1" x14ac:dyDescent="0.25">
      <c r="A477" s="278"/>
      <c r="B477" s="746"/>
      <c r="C477" s="243"/>
      <c r="D477" s="243"/>
      <c r="E477" s="244"/>
      <c r="F477" s="243"/>
      <c r="G477" s="243"/>
      <c r="H477" s="243"/>
      <c r="I477" s="243"/>
      <c r="J477" s="243"/>
      <c r="K477" s="243"/>
      <c r="L477" s="243"/>
      <c r="M477" s="243"/>
      <c r="N477" s="747"/>
      <c r="O477" s="278"/>
    </row>
    <row r="478" spans="1:15" ht="13.95" customHeight="1" x14ac:dyDescent="0.25">
      <c r="A478" s="278"/>
      <c r="B478" s="278"/>
      <c r="C478" s="278"/>
      <c r="D478" s="278"/>
      <c r="E478" s="954"/>
      <c r="F478" s="278"/>
      <c r="G478" s="278"/>
      <c r="H478" s="278"/>
      <c r="I478" s="278"/>
      <c r="J478" s="278"/>
      <c r="K478" s="278"/>
      <c r="L478" s="278"/>
      <c r="M478" s="278"/>
      <c r="N478" s="278"/>
      <c r="O478" s="942"/>
    </row>
  </sheetData>
  <sheetProtection sheet="1" formatCells="0" formatColumns="0" formatRows="0" autoFilter="0"/>
  <mergeCells count="2">
    <mergeCell ref="D7:E7"/>
    <mergeCell ref="R4:R16"/>
  </mergeCells>
  <pageMargins left="0.7" right="0.7" top="0.75" bottom="0.75" header="0.3" footer="0.3"/>
  <pageSetup paperSize="9" orientation="portrait" r:id="rId1"/>
  <drawing r:id="rId2"/>
  <tableParts count="2">
    <tablePart r:id="rId3"/>
    <tablePart r:id="rId4"/>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466"/>
  <sheetViews>
    <sheetView showGridLines="0" zoomScaleNormal="100" workbookViewId="0"/>
  </sheetViews>
  <sheetFormatPr defaultColWidth="9.1796875" defaultRowHeight="13.95" customHeight="1" x14ac:dyDescent="0.25"/>
  <cols>
    <col min="1" max="1" width="21.6328125" style="143" customWidth="1"/>
    <col min="2" max="2" width="14.7265625" style="143" customWidth="1"/>
    <col min="5" max="5" width="80.6328125" customWidth="1"/>
    <col min="10" max="16384" width="9.1796875" style="250"/>
  </cols>
  <sheetData>
    <row r="1" spans="1:9" s="143" customFormat="1" ht="13.95" customHeight="1" x14ac:dyDescent="0.25">
      <c r="A1" s="264"/>
      <c r="B1" s="264"/>
      <c r="C1"/>
      <c r="D1"/>
      <c r="E1"/>
      <c r="F1"/>
      <c r="G1"/>
      <c r="H1"/>
      <c r="I1"/>
    </row>
    <row r="2" spans="1:9" s="377" customFormat="1" ht="25.8" customHeight="1" x14ac:dyDescent="0.25">
      <c r="A2" s="576" t="str">
        <f>IF(VLOOKUP("KM53",Languages!$A:$D,1,TRUE)="KM53",VLOOKUP("KM53",Languages!$A:$D,Summary!$C$7,TRUE),NA())</f>
        <v>Arviointitulosten vienti</v>
      </c>
      <c r="B2" s="374"/>
      <c r="C2"/>
      <c r="D2"/>
      <c r="E2"/>
      <c r="F2"/>
      <c r="G2"/>
      <c r="H2"/>
      <c r="I2"/>
    </row>
    <row r="3" spans="1:9" s="143" customFormat="1" ht="91.2" customHeight="1" x14ac:dyDescent="0.25">
      <c r="A3" s="1297" t="str">
        <f>IF(VLOOKUP("KM56",Languages!$A:$D,1,TRUE)="KM56",VLOOKUP("KM56",Languages!$A:$D,Summary!$C$7,TRUE),NA())</f>
        <v>Tätä taulukkoa voidaan käyttää arviointitulosten siirtämiseen tai lähettämiseen Kyberturvallisuuskeskukselle. Valitse välilehti alalaidasta hiiren oikealla painikkeella ja kopioi välilehti uudeksi tiedostoksi.  Tallenna uudessa dokumentissa tämä välilehti .CSV muodossa.</v>
      </c>
      <c r="B3" s="1297"/>
      <c r="C3"/>
      <c r="D3"/>
      <c r="E3"/>
      <c r="F3"/>
      <c r="G3"/>
      <c r="H3"/>
      <c r="I3"/>
    </row>
    <row r="4" spans="1:9" s="143" customFormat="1" ht="13.95" customHeight="1" x14ac:dyDescent="0.25">
      <c r="A4" s="264"/>
      <c r="B4" s="264"/>
      <c r="C4"/>
      <c r="D4"/>
      <c r="E4"/>
      <c r="F4"/>
      <c r="G4"/>
      <c r="H4"/>
      <c r="I4"/>
    </row>
    <row r="5" spans="1:9" ht="13.95" customHeight="1" x14ac:dyDescent="0.25">
      <c r="A5" s="1135" t="s">
        <v>31</v>
      </c>
      <c r="B5" s="1135" t="s">
        <v>667</v>
      </c>
    </row>
    <row r="6" spans="1:9" ht="13.95" customHeight="1" x14ac:dyDescent="0.25">
      <c r="A6" s="920" t="s">
        <v>701</v>
      </c>
      <c r="B6" s="921">
        <f>Summary!$H$4</f>
        <v>0</v>
      </c>
    </row>
    <row r="7" spans="1:9" ht="13.95" customHeight="1" x14ac:dyDescent="0.25">
      <c r="A7" s="920" t="s">
        <v>698</v>
      </c>
      <c r="B7" s="922">
        <f>Summary!$E11</f>
        <v>0</v>
      </c>
    </row>
    <row r="8" spans="1:9" ht="13.95" customHeight="1" x14ac:dyDescent="0.25">
      <c r="A8" s="920" t="s">
        <v>3034</v>
      </c>
      <c r="B8" s="922">
        <f>Summary!$I11</f>
        <v>0</v>
      </c>
    </row>
    <row r="9" spans="1:9" ht="13.95" customHeight="1" x14ac:dyDescent="0.25">
      <c r="A9" s="920" t="s">
        <v>3125</v>
      </c>
      <c r="B9" s="921">
        <f>Summary!I12</f>
        <v>0</v>
      </c>
    </row>
    <row r="10" spans="1:9" ht="13.95" customHeight="1" x14ac:dyDescent="0.25">
      <c r="A10" s="920" t="s">
        <v>699</v>
      </c>
      <c r="B10" s="922">
        <f>Summary!$E12</f>
        <v>0</v>
      </c>
    </row>
    <row r="11" spans="1:9" ht="13.95" customHeight="1" x14ac:dyDescent="0.25">
      <c r="A11" s="920" t="s">
        <v>700</v>
      </c>
      <c r="B11" s="922">
        <f>Summary!$E13</f>
        <v>0</v>
      </c>
    </row>
    <row r="12" spans="1:9" ht="13.95" customHeight="1" x14ac:dyDescent="0.25">
      <c r="A12" s="920" t="s">
        <v>2275</v>
      </c>
      <c r="B12" s="922" t="str">
        <f>Summary!$E3</f>
        <v>2.0</v>
      </c>
    </row>
    <row r="13" spans="1:9" ht="13.95" customHeight="1" x14ac:dyDescent="0.25">
      <c r="A13" s="920" t="s">
        <v>2276</v>
      </c>
      <c r="B13" s="1148">
        <f>Summary!$E15</f>
        <v>0</v>
      </c>
    </row>
    <row r="14" spans="1:9" ht="13.95" customHeight="1" x14ac:dyDescent="0.25">
      <c r="A14" s="918" t="s">
        <v>2270</v>
      </c>
      <c r="B14" s="940">
        <f ca="1">NISTmap!$J$7</f>
        <v>0</v>
      </c>
    </row>
    <row r="15" spans="1:9" ht="13.95" customHeight="1" x14ac:dyDescent="0.25">
      <c r="A15" s="918" t="s">
        <v>2271</v>
      </c>
      <c r="B15" s="940">
        <f ca="1">NISTmap!$K$7</f>
        <v>0</v>
      </c>
    </row>
    <row r="16" spans="1:9" ht="13.95" customHeight="1" x14ac:dyDescent="0.25">
      <c r="A16" s="918" t="s">
        <v>2274</v>
      </c>
      <c r="B16" s="940">
        <f ca="1">NISTmap!$L$7</f>
        <v>0</v>
      </c>
    </row>
    <row r="17" spans="1:2" ht="13.95" customHeight="1" x14ac:dyDescent="0.25">
      <c r="A17" s="918" t="s">
        <v>2273</v>
      </c>
      <c r="B17" s="940">
        <f ca="1">NISTmap!$M$7</f>
        <v>0</v>
      </c>
    </row>
    <row r="18" spans="1:2" ht="13.95" customHeight="1" x14ac:dyDescent="0.25">
      <c r="A18" s="918" t="s">
        <v>2272</v>
      </c>
      <c r="B18" s="940">
        <f ca="1">NISTmap!$N$7</f>
        <v>0</v>
      </c>
    </row>
    <row r="19" spans="1:2" ht="13.95" customHeight="1" x14ac:dyDescent="0.25">
      <c r="A19" s="918" t="s">
        <v>61</v>
      </c>
      <c r="B19" s="919">
        <f ca="1">VLOOKUP($A19,Data!$K$2:$O$58,5,FALSE)</f>
        <v>0</v>
      </c>
    </row>
    <row r="20" spans="1:2" ht="13.95" customHeight="1" x14ac:dyDescent="0.25">
      <c r="A20" s="918" t="s">
        <v>63</v>
      </c>
      <c r="B20" s="919">
        <f ca="1">VLOOKUP($A20,Data!$K$2:$O$58,5,FALSE)</f>
        <v>0</v>
      </c>
    </row>
    <row r="21" spans="1:2" ht="13.95" customHeight="1" x14ac:dyDescent="0.25">
      <c r="A21" s="918" t="s">
        <v>65</v>
      </c>
      <c r="B21" s="919">
        <f ca="1">VLOOKUP($A21,Data!$K$2:$O$58,5,FALSE)</f>
        <v>0</v>
      </c>
    </row>
    <row r="22" spans="1:2" ht="13.95" customHeight="1" x14ac:dyDescent="0.25">
      <c r="A22" s="918" t="s">
        <v>68</v>
      </c>
      <c r="B22" s="919">
        <f ca="1">VLOOKUP($A22,Data!$K$2:$O$58,5,FALSE)</f>
        <v>0</v>
      </c>
    </row>
    <row r="23" spans="1:2" ht="13.95" customHeight="1" x14ac:dyDescent="0.25">
      <c r="A23" s="918" t="s">
        <v>1103</v>
      </c>
      <c r="B23" s="919">
        <f ca="1">VLOOKUP($A23,Data!$K$2:$O$58,5,FALSE)</f>
        <v>1</v>
      </c>
    </row>
    <row r="24" spans="1:2" ht="13.95" customHeight="1" x14ac:dyDescent="0.25">
      <c r="A24" s="918" t="s">
        <v>80</v>
      </c>
      <c r="B24" s="919">
        <f ca="1">VLOOKUP($A24,Data!$K$2:$O$58,5,FALSE)</f>
        <v>0</v>
      </c>
    </row>
    <row r="25" spans="1:2" ht="13.95" customHeight="1" x14ac:dyDescent="0.25">
      <c r="A25" s="918" t="s">
        <v>121</v>
      </c>
      <c r="B25" s="919">
        <f ca="1">VLOOKUP($A25,Data!$K$2:$O$58,5,FALSE)</f>
        <v>0</v>
      </c>
    </row>
    <row r="26" spans="1:2" ht="13.95" customHeight="1" x14ac:dyDescent="0.25">
      <c r="A26" s="918" t="s">
        <v>124</v>
      </c>
      <c r="B26" s="919">
        <f ca="1">VLOOKUP($A26,Data!$K$2:$O$58,5,FALSE)</f>
        <v>0</v>
      </c>
    </row>
    <row r="27" spans="1:2" ht="13.95" customHeight="1" x14ac:dyDescent="0.25">
      <c r="A27" s="918" t="s">
        <v>127</v>
      </c>
      <c r="B27" s="919">
        <f ca="1">VLOOKUP($A27,Data!$K$2:$O$58,5,FALSE)</f>
        <v>0</v>
      </c>
    </row>
    <row r="28" spans="1:2" ht="13.95" customHeight="1" x14ac:dyDescent="0.25">
      <c r="A28" s="918" t="s">
        <v>130</v>
      </c>
      <c r="B28" s="919">
        <f ca="1">VLOOKUP($A28,Data!$K$2:$O$58,5,FALSE)</f>
        <v>1</v>
      </c>
    </row>
    <row r="29" spans="1:2" ht="13.95" customHeight="1" x14ac:dyDescent="0.25">
      <c r="A29" s="918" t="s">
        <v>133</v>
      </c>
      <c r="B29" s="919">
        <f ca="1">VLOOKUP($A29,Data!$K$2:$O$58,5,FALSE)</f>
        <v>0</v>
      </c>
    </row>
    <row r="30" spans="1:2" ht="13.95" customHeight="1" x14ac:dyDescent="0.25">
      <c r="A30" s="918" t="s">
        <v>1114</v>
      </c>
      <c r="B30" s="919">
        <f ca="1">VLOOKUP($A30,Data!$K$2:$O$58,5,FALSE)</f>
        <v>1</v>
      </c>
    </row>
    <row r="31" spans="1:2" ht="13.95" customHeight="1" x14ac:dyDescent="0.25">
      <c r="A31" s="918" t="s">
        <v>48</v>
      </c>
      <c r="B31" s="919">
        <f ca="1">VLOOKUP($A31,Data!$K$2:$O$58,5,FALSE)</f>
        <v>0</v>
      </c>
    </row>
    <row r="32" spans="1:2" ht="13.95" customHeight="1" x14ac:dyDescent="0.25">
      <c r="A32" s="918" t="s">
        <v>50</v>
      </c>
      <c r="B32" s="919">
        <f ca="1">VLOOKUP($A32,Data!$K$2:$O$58,5,FALSE)</f>
        <v>0</v>
      </c>
    </row>
    <row r="33" spans="1:2" ht="13.95" customHeight="1" x14ac:dyDescent="0.25">
      <c r="A33" s="918" t="s">
        <v>52</v>
      </c>
      <c r="B33" s="919">
        <f ca="1">VLOOKUP($A33,Data!$K$2:$O$58,5,FALSE)</f>
        <v>0</v>
      </c>
    </row>
    <row r="34" spans="1:2" ht="13.95" customHeight="1" x14ac:dyDescent="0.25">
      <c r="A34" s="918" t="s">
        <v>54</v>
      </c>
      <c r="B34" s="919">
        <f ca="1">VLOOKUP($A34,Data!$K$2:$O$58,5,FALSE)</f>
        <v>0</v>
      </c>
    </row>
    <row r="35" spans="1:2" ht="13.95" customHeight="1" x14ac:dyDescent="0.25">
      <c r="A35" s="918" t="s">
        <v>56</v>
      </c>
      <c r="B35" s="919">
        <f ca="1">VLOOKUP($A35,Data!$K$2:$O$58,5,FALSE)</f>
        <v>0</v>
      </c>
    </row>
    <row r="36" spans="1:2" ht="13.95" customHeight="1" x14ac:dyDescent="0.25">
      <c r="A36" s="918" t="s">
        <v>59</v>
      </c>
      <c r="B36" s="919">
        <f ca="1">VLOOKUP($A36,Data!$K$2:$O$58,5,FALSE)</f>
        <v>1</v>
      </c>
    </row>
    <row r="37" spans="1:2" ht="13.95" customHeight="1" x14ac:dyDescent="0.25">
      <c r="A37" s="918" t="s">
        <v>57</v>
      </c>
      <c r="B37" s="919">
        <f ca="1">VLOOKUP($A37,Data!$K$2:$O$58,5,FALSE)</f>
        <v>0</v>
      </c>
    </row>
    <row r="38" spans="1:2" ht="13.95" customHeight="1" x14ac:dyDescent="0.25">
      <c r="A38" s="918" t="s">
        <v>154</v>
      </c>
      <c r="B38" s="919">
        <f ca="1">VLOOKUP($A38,Data!$K$2:$O$58,5,FALSE)</f>
        <v>0</v>
      </c>
    </row>
    <row r="39" spans="1:2" ht="13.95" customHeight="1" x14ac:dyDescent="0.25">
      <c r="A39" s="918" t="s">
        <v>157</v>
      </c>
      <c r="B39" s="919">
        <f ca="1">VLOOKUP($A39,Data!$K$2:$O$58,5,FALSE)</f>
        <v>0</v>
      </c>
    </row>
    <row r="40" spans="1:2" ht="13.95" customHeight="1" x14ac:dyDescent="0.25">
      <c r="A40" s="918" t="s">
        <v>159</v>
      </c>
      <c r="B40" s="919">
        <f ca="1">VLOOKUP($A40,Data!$K$2:$O$58,5,FALSE)</f>
        <v>0</v>
      </c>
    </row>
    <row r="41" spans="1:2" ht="13.95" customHeight="1" x14ac:dyDescent="0.25">
      <c r="A41" s="918" t="s">
        <v>82</v>
      </c>
      <c r="B41" s="919">
        <f ca="1">VLOOKUP($A41,Data!$K$2:$O$58,5,FALSE)</f>
        <v>0</v>
      </c>
    </row>
    <row r="42" spans="1:2" ht="13.95" customHeight="1" x14ac:dyDescent="0.25">
      <c r="A42" s="918" t="s">
        <v>138</v>
      </c>
      <c r="B42" s="919">
        <f ca="1">VLOOKUP($A42,Data!$K$2:$O$58,5,FALSE)</f>
        <v>0</v>
      </c>
    </row>
    <row r="43" spans="1:2" ht="13.95" customHeight="1" x14ac:dyDescent="0.25">
      <c r="A43" s="918" t="s">
        <v>141</v>
      </c>
      <c r="B43" s="919">
        <f ca="1">VLOOKUP($A43,Data!$K$2:$O$58,5,FALSE)</f>
        <v>0</v>
      </c>
    </row>
    <row r="44" spans="1:2" ht="13.95" customHeight="1" x14ac:dyDescent="0.25">
      <c r="A44" s="918" t="s">
        <v>144</v>
      </c>
      <c r="B44" s="919">
        <f ca="1">VLOOKUP($A44,Data!$K$2:$O$58,5,FALSE)</f>
        <v>1</v>
      </c>
    </row>
    <row r="45" spans="1:2" ht="13.95" customHeight="1" x14ac:dyDescent="0.25">
      <c r="A45" s="918" t="s">
        <v>71</v>
      </c>
      <c r="B45" s="919">
        <f ca="1">VLOOKUP($A45,Data!$K$2:$O$58,5,FALSE)</f>
        <v>0</v>
      </c>
    </row>
    <row r="46" spans="1:2" ht="13.95" customHeight="1" x14ac:dyDescent="0.25">
      <c r="A46" s="918" t="s">
        <v>93</v>
      </c>
      <c r="B46" s="919">
        <f ca="1">VLOOKUP($A46,Data!$K$2:$O$58,5,FALSE)</f>
        <v>0</v>
      </c>
    </row>
    <row r="47" spans="1:2" ht="13.95" customHeight="1" x14ac:dyDescent="0.25">
      <c r="A47" s="918" t="s">
        <v>95</v>
      </c>
      <c r="B47" s="919">
        <f ca="1">VLOOKUP($A47,Data!$K$2:$O$58,5,FALSE)</f>
        <v>0</v>
      </c>
    </row>
    <row r="48" spans="1:2" ht="13.95" customHeight="1" x14ac:dyDescent="0.25">
      <c r="A48" s="918" t="s">
        <v>97</v>
      </c>
      <c r="B48" s="919">
        <f ca="1">VLOOKUP($A48,Data!$K$2:$O$58,5,FALSE)</f>
        <v>0</v>
      </c>
    </row>
    <row r="49" spans="1:2" ht="13.95" customHeight="1" x14ac:dyDescent="0.25">
      <c r="A49" s="918" t="s">
        <v>99</v>
      </c>
      <c r="B49" s="919">
        <f ca="1">VLOOKUP($A49,Data!$K$2:$O$58,5,FALSE)</f>
        <v>0</v>
      </c>
    </row>
    <row r="50" spans="1:2" ht="13.95" customHeight="1" x14ac:dyDescent="0.25">
      <c r="A50" s="918" t="s">
        <v>1112</v>
      </c>
      <c r="B50" s="919">
        <f ca="1">VLOOKUP($A50,Data!$K$2:$O$58,5,FALSE)</f>
        <v>1</v>
      </c>
    </row>
    <row r="51" spans="1:2" ht="13.95" customHeight="1" x14ac:dyDescent="0.25">
      <c r="A51" s="918" t="s">
        <v>0</v>
      </c>
      <c r="B51" s="919">
        <f ca="1">VLOOKUP($A51,Data!$K$2:$O$58,5,FALSE)</f>
        <v>0</v>
      </c>
    </row>
    <row r="52" spans="1:2" ht="13.95" customHeight="1" x14ac:dyDescent="0.25">
      <c r="A52" s="918" t="s">
        <v>40</v>
      </c>
      <c r="B52" s="919">
        <f ca="1">VLOOKUP($A52,Data!$K$2:$O$58,5,FALSE)</f>
        <v>0</v>
      </c>
    </row>
    <row r="53" spans="1:2" ht="13.95" customHeight="1" x14ac:dyDescent="0.25">
      <c r="A53" s="918" t="s">
        <v>44</v>
      </c>
      <c r="B53" s="919">
        <f ca="1">VLOOKUP($A53,Data!$K$2:$O$58,5,FALSE)</f>
        <v>0</v>
      </c>
    </row>
    <row r="54" spans="1:2" ht="13.95" customHeight="1" x14ac:dyDescent="0.25">
      <c r="A54" s="918" t="s">
        <v>46</v>
      </c>
      <c r="B54" s="919">
        <f ca="1">VLOOKUP($A54,Data!$K$2:$O$58,5,FALSE)</f>
        <v>0</v>
      </c>
    </row>
    <row r="55" spans="1:2" ht="13.95" customHeight="1" x14ac:dyDescent="0.25">
      <c r="A55" s="918" t="s">
        <v>1101</v>
      </c>
      <c r="B55" s="919">
        <f ca="1">VLOOKUP($A55,Data!$K$2:$O$58,5,FALSE)</f>
        <v>0</v>
      </c>
    </row>
    <row r="56" spans="1:2" ht="13.95" customHeight="1" x14ac:dyDescent="0.25">
      <c r="A56" s="918" t="s">
        <v>1102</v>
      </c>
      <c r="B56" s="919">
        <f ca="1">VLOOKUP($A56,Data!$K$2:$O$58,5,FALSE)</f>
        <v>1</v>
      </c>
    </row>
    <row r="57" spans="1:2" ht="13.95" customHeight="1" x14ac:dyDescent="0.25">
      <c r="A57" s="918" t="s">
        <v>69</v>
      </c>
      <c r="B57" s="919">
        <f ca="1">VLOOKUP($A57,Data!$K$2:$O$58,5,FALSE)</f>
        <v>0</v>
      </c>
    </row>
    <row r="58" spans="1:2" ht="13.95" customHeight="1" x14ac:dyDescent="0.25">
      <c r="A58" s="918" t="s">
        <v>84</v>
      </c>
      <c r="B58" s="919">
        <f ca="1">VLOOKUP($A58,Data!$K$2:$O$58,5,FALSE)</f>
        <v>0</v>
      </c>
    </row>
    <row r="59" spans="1:2" ht="13.95" customHeight="1" x14ac:dyDescent="0.25">
      <c r="A59" s="918" t="s">
        <v>86</v>
      </c>
      <c r="B59" s="919">
        <f ca="1">VLOOKUP($A59,Data!$K$2:$O$58,5,FALSE)</f>
        <v>0</v>
      </c>
    </row>
    <row r="60" spans="1:2" ht="13.95" customHeight="1" x14ac:dyDescent="0.25">
      <c r="A60" s="918" t="s">
        <v>88</v>
      </c>
      <c r="B60" s="919">
        <f ca="1">VLOOKUP($A60,Data!$K$2:$O$58,5,FALSE)</f>
        <v>1</v>
      </c>
    </row>
    <row r="61" spans="1:2" ht="13.95" customHeight="1" x14ac:dyDescent="0.25">
      <c r="A61" s="918" t="s">
        <v>90</v>
      </c>
      <c r="B61" s="919">
        <f ca="1">VLOOKUP($A61,Data!$K$2:$O$58,5,FALSE)</f>
        <v>1</v>
      </c>
    </row>
    <row r="62" spans="1:2" ht="13.95" customHeight="1" x14ac:dyDescent="0.25">
      <c r="A62" s="918" t="s">
        <v>1145</v>
      </c>
      <c r="B62" s="919">
        <f ca="1">VLOOKUP($A62,Data!$K$2:$O$58,5,FALSE)</f>
        <v>0</v>
      </c>
    </row>
    <row r="63" spans="1:2" ht="13.95" customHeight="1" x14ac:dyDescent="0.25">
      <c r="A63" s="918" t="s">
        <v>1121</v>
      </c>
      <c r="B63" s="919">
        <f ca="1">VLOOKUP($A63,Data!$K$2:$O$58,5,FALSE)</f>
        <v>0</v>
      </c>
    </row>
    <row r="64" spans="1:2" ht="13.95" customHeight="1" x14ac:dyDescent="0.25">
      <c r="A64" s="918" t="s">
        <v>1127</v>
      </c>
      <c r="B64" s="919">
        <f ca="1">VLOOKUP($A64,Data!$K$2:$O$58,5,FALSE)</f>
        <v>0</v>
      </c>
    </row>
    <row r="65" spans="1:2" ht="13.95" customHeight="1" x14ac:dyDescent="0.25">
      <c r="A65" s="918" t="s">
        <v>1146</v>
      </c>
      <c r="B65" s="919">
        <f ca="1">VLOOKUP($A65,Data!$K$2:$O$58,5,FALSE)</f>
        <v>1</v>
      </c>
    </row>
    <row r="66" spans="1:2" ht="13.95" customHeight="1" x14ac:dyDescent="0.25">
      <c r="A66" s="918" t="s">
        <v>66</v>
      </c>
      <c r="B66" s="919">
        <f ca="1">VLOOKUP($A66,Data!$K$2:$O$58,5,FALSE)</f>
        <v>0</v>
      </c>
    </row>
    <row r="67" spans="1:2" ht="13.95" customHeight="1" x14ac:dyDescent="0.25">
      <c r="A67" s="918" t="s">
        <v>73</v>
      </c>
      <c r="B67" s="919">
        <f ca="1">VLOOKUP($A67,Data!$K$2:$O$58,5,FALSE)</f>
        <v>0</v>
      </c>
    </row>
    <row r="68" spans="1:2" ht="13.95" customHeight="1" x14ac:dyDescent="0.25">
      <c r="A68" s="918" t="s">
        <v>76</v>
      </c>
      <c r="B68" s="919">
        <f ca="1">VLOOKUP($A68,Data!$K$2:$O$58,5,FALSE)</f>
        <v>0</v>
      </c>
    </row>
    <row r="69" spans="1:2" ht="13.95" customHeight="1" x14ac:dyDescent="0.25">
      <c r="A69" s="918" t="s">
        <v>79</v>
      </c>
      <c r="B69" s="919">
        <f ca="1">VLOOKUP($A69,Data!$K$2:$O$58,5,FALSE)</f>
        <v>1</v>
      </c>
    </row>
    <row r="70" spans="1:2" ht="13.95" customHeight="1" x14ac:dyDescent="0.25">
      <c r="A70" s="918" t="s">
        <v>77</v>
      </c>
      <c r="B70" s="919">
        <f ca="1">VLOOKUP($A70,Data!$K$2:$O$58,5,FALSE)</f>
        <v>0</v>
      </c>
    </row>
    <row r="71" spans="1:2" ht="13.95" customHeight="1" x14ac:dyDescent="0.25">
      <c r="A71" s="918" t="s">
        <v>110</v>
      </c>
      <c r="B71" s="919">
        <f ca="1">VLOOKUP($A71,Data!$K$2:$O$58,5,FALSE)</f>
        <v>0</v>
      </c>
    </row>
    <row r="72" spans="1:2" ht="13.95" customHeight="1" x14ac:dyDescent="0.25">
      <c r="A72" s="941" t="s">
        <v>112</v>
      </c>
      <c r="B72" s="919">
        <f ca="1">VLOOKUP($A72,Data!$K$2:$O$58,5,FALSE)</f>
        <v>0</v>
      </c>
    </row>
    <row r="73" spans="1:2" ht="13.95" customHeight="1" x14ac:dyDescent="0.25">
      <c r="A73" s="941" t="s">
        <v>114</v>
      </c>
      <c r="B73" s="919">
        <f ca="1">VLOOKUP($A73,Data!$K$2:$O$58,5,FALSE)</f>
        <v>0</v>
      </c>
    </row>
    <row r="74" spans="1:2" ht="13.95" customHeight="1" x14ac:dyDescent="0.25">
      <c r="A74" s="941" t="s">
        <v>116</v>
      </c>
      <c r="B74" s="919">
        <f ca="1">VLOOKUP($A74,Data!$K$2:$O$58,5,FALSE)</f>
        <v>0</v>
      </c>
    </row>
    <row r="75" spans="1:2" ht="13.95" customHeight="1" x14ac:dyDescent="0.25">
      <c r="A75" s="941" t="s">
        <v>118</v>
      </c>
      <c r="B75" s="919">
        <f ca="1">VLOOKUP($A75,Data!$K$2:$O$58,5,FALSE)</f>
        <v>1</v>
      </c>
    </row>
    <row r="76" spans="1:2" ht="13.95" customHeight="1" x14ac:dyDescent="0.25">
      <c r="A76" s="588" t="s">
        <v>158</v>
      </c>
      <c r="B76" s="719" t="e">
        <f ca="1">VLOOKUP($A76,Data!$C$2:$H$370,6,FALSE)</f>
        <v>#VALUE!</v>
      </c>
    </row>
    <row r="77" spans="1:2" ht="13.95" customHeight="1" x14ac:dyDescent="0.25">
      <c r="A77" s="588" t="s">
        <v>160</v>
      </c>
      <c r="B77" s="719" t="e">
        <f ca="1">VLOOKUP($A77,Data!$C$2:$H$370,6,FALSE)</f>
        <v>#VALUE!</v>
      </c>
    </row>
    <row r="78" spans="1:2" ht="13.95" customHeight="1" x14ac:dyDescent="0.25">
      <c r="A78" s="588" t="s">
        <v>161</v>
      </c>
      <c r="B78" s="719" t="e">
        <f ca="1">VLOOKUP($A78,Data!$C$2:$H$370,6,FALSE)</f>
        <v>#VALUE!</v>
      </c>
    </row>
    <row r="79" spans="1:2" ht="13.95" customHeight="1" x14ac:dyDescent="0.25">
      <c r="A79" s="588" t="s">
        <v>162</v>
      </c>
      <c r="B79" s="719" t="e">
        <f ca="1">VLOOKUP($A79,Data!$C$2:$H$370,6,FALSE)</f>
        <v>#VALUE!</v>
      </c>
    </row>
    <row r="80" spans="1:2" ht="13.95" customHeight="1" x14ac:dyDescent="0.25">
      <c r="A80" s="588" t="s">
        <v>163</v>
      </c>
      <c r="B80" s="719" t="e">
        <f ca="1">VLOOKUP($A80,Data!$C$2:$H$370,6,FALSE)</f>
        <v>#VALUE!</v>
      </c>
    </row>
    <row r="81" spans="1:2" ht="13.95" customHeight="1" x14ac:dyDescent="0.25">
      <c r="A81" s="588" t="s">
        <v>164</v>
      </c>
      <c r="B81" s="719" t="e">
        <f ca="1">VLOOKUP($A81,Data!$C$2:$H$370,6,FALSE)</f>
        <v>#VALUE!</v>
      </c>
    </row>
    <row r="82" spans="1:2" ht="13.95" customHeight="1" x14ac:dyDescent="0.25">
      <c r="A82" s="588" t="s">
        <v>166</v>
      </c>
      <c r="B82" s="719" t="e">
        <f ca="1">VLOOKUP($A82,Data!$C$2:$H$370,6,FALSE)</f>
        <v>#VALUE!</v>
      </c>
    </row>
    <row r="83" spans="1:2" ht="13.95" customHeight="1" x14ac:dyDescent="0.25">
      <c r="A83" s="588" t="s">
        <v>167</v>
      </c>
      <c r="B83" s="719" t="e">
        <f ca="1">VLOOKUP($A83,Data!$C$2:$H$370,6,FALSE)</f>
        <v>#VALUE!</v>
      </c>
    </row>
    <row r="84" spans="1:2" ht="13.95" customHeight="1" x14ac:dyDescent="0.25">
      <c r="A84" s="588" t="s">
        <v>168</v>
      </c>
      <c r="B84" s="719" t="e">
        <f ca="1">VLOOKUP($A84,Data!$C$2:$H$370,6,FALSE)</f>
        <v>#VALUE!</v>
      </c>
    </row>
    <row r="85" spans="1:2" ht="13.95" customHeight="1" x14ac:dyDescent="0.25">
      <c r="A85" s="588" t="s">
        <v>169</v>
      </c>
      <c r="B85" s="719" t="e">
        <f ca="1">VLOOKUP($A85,Data!$C$2:$H$370,6,FALSE)</f>
        <v>#VALUE!</v>
      </c>
    </row>
    <row r="86" spans="1:2" ht="13.95" customHeight="1" x14ac:dyDescent="0.25">
      <c r="A86" s="588" t="s">
        <v>170</v>
      </c>
      <c r="B86" s="719" t="e">
        <f ca="1">VLOOKUP($A86,Data!$C$2:$H$370,6,FALSE)</f>
        <v>#VALUE!</v>
      </c>
    </row>
    <row r="87" spans="1:2" ht="13.95" customHeight="1" x14ac:dyDescent="0.25">
      <c r="A87" s="588" t="s">
        <v>171</v>
      </c>
      <c r="B87" s="719" t="e">
        <f ca="1">VLOOKUP($A87,Data!$C$2:$H$370,6,FALSE)</f>
        <v>#VALUE!</v>
      </c>
    </row>
    <row r="88" spans="1:2" ht="13.95" customHeight="1" x14ac:dyDescent="0.25">
      <c r="A88" s="588" t="s">
        <v>172</v>
      </c>
      <c r="B88" s="719" t="e">
        <f ca="1">VLOOKUP($A88,Data!$C$2:$H$370,6,FALSE)</f>
        <v>#VALUE!</v>
      </c>
    </row>
    <row r="89" spans="1:2" ht="13.95" customHeight="1" x14ac:dyDescent="0.25">
      <c r="A89" s="588" t="s">
        <v>174</v>
      </c>
      <c r="B89" s="719" t="e">
        <f ca="1">VLOOKUP($A89,Data!$C$2:$H$370,6,FALSE)</f>
        <v>#VALUE!</v>
      </c>
    </row>
    <row r="90" spans="1:2" ht="13.95" customHeight="1" x14ac:dyDescent="0.25">
      <c r="A90" s="588" t="s">
        <v>1050</v>
      </c>
      <c r="B90" s="719" t="e">
        <f ca="1">VLOOKUP($A90,Data!$C$2:$H$370,6,FALSE)</f>
        <v>#VALUE!</v>
      </c>
    </row>
    <row r="91" spans="1:2" ht="13.95" customHeight="1" x14ac:dyDescent="0.25">
      <c r="A91" s="588" t="s">
        <v>176</v>
      </c>
      <c r="B91" s="719" t="e">
        <f ca="1">VLOOKUP($A91,Data!$C$2:$H$370,6,FALSE)</f>
        <v>#VALUE!</v>
      </c>
    </row>
    <row r="92" spans="1:2" ht="13.95" customHeight="1" x14ac:dyDescent="0.25">
      <c r="A92" s="588" t="s">
        <v>177</v>
      </c>
      <c r="B92" s="719" t="e">
        <f ca="1">VLOOKUP($A92,Data!$C$2:$H$370,6,FALSE)</f>
        <v>#VALUE!</v>
      </c>
    </row>
    <row r="93" spans="1:2" ht="13.95" customHeight="1" x14ac:dyDescent="0.25">
      <c r="A93" s="588" t="s">
        <v>178</v>
      </c>
      <c r="B93" s="719" t="e">
        <f ca="1">VLOOKUP($A93,Data!$C$2:$H$370,6,FALSE)</f>
        <v>#VALUE!</v>
      </c>
    </row>
    <row r="94" spans="1:2" ht="13.95" customHeight="1" x14ac:dyDescent="0.25">
      <c r="A94" s="588" t="s">
        <v>179</v>
      </c>
      <c r="B94" s="719" t="e">
        <f ca="1">VLOOKUP($A94,Data!$C$2:$H$370,6,FALSE)</f>
        <v>#VALUE!</v>
      </c>
    </row>
    <row r="95" spans="1:2" ht="13.95" customHeight="1" x14ac:dyDescent="0.25">
      <c r="A95" s="588" t="s">
        <v>180</v>
      </c>
      <c r="B95" s="719" t="e">
        <f ca="1">VLOOKUP($A95,Data!$C$2:$H$370,6,FALSE)</f>
        <v>#VALUE!</v>
      </c>
    </row>
    <row r="96" spans="1:2" ht="13.95" customHeight="1" x14ac:dyDescent="0.25">
      <c r="A96" s="588" t="s">
        <v>181</v>
      </c>
      <c r="B96" s="719" t="e">
        <f ca="1">VLOOKUP($A96,Data!$C$2:$H$370,6,FALSE)</f>
        <v>#VALUE!</v>
      </c>
    </row>
    <row r="97" spans="1:2" ht="13.95" customHeight="1" x14ac:dyDescent="0.25">
      <c r="A97" s="588" t="s">
        <v>182</v>
      </c>
      <c r="B97" s="719" t="e">
        <f ca="1">VLOOKUP($A97,Data!$C$2:$H$370,6,FALSE)</f>
        <v>#VALUE!</v>
      </c>
    </row>
    <row r="98" spans="1:2" ht="13.95" customHeight="1" x14ac:dyDescent="0.25">
      <c r="A98" s="588" t="s">
        <v>1051</v>
      </c>
      <c r="B98" s="719" t="e">
        <f ca="1">VLOOKUP($A98,Data!$C$2:$H$370,6,FALSE)</f>
        <v>#VALUE!</v>
      </c>
    </row>
    <row r="99" spans="1:2" ht="13.95" customHeight="1" x14ac:dyDescent="0.25">
      <c r="A99" s="588" t="s">
        <v>1052</v>
      </c>
      <c r="B99" s="719" t="e">
        <f ca="1">VLOOKUP($A99,Data!$C$2:$H$370,6,FALSE)</f>
        <v>#VALUE!</v>
      </c>
    </row>
    <row r="100" spans="1:2" ht="13.95" customHeight="1" x14ac:dyDescent="0.25">
      <c r="A100" s="588" t="s">
        <v>1053</v>
      </c>
      <c r="B100" s="719" t="e">
        <f ca="1">VLOOKUP($A100,Data!$C$2:$H$370,6,FALSE)</f>
        <v>#VALUE!</v>
      </c>
    </row>
    <row r="101" spans="1:2" ht="13.95" customHeight="1" x14ac:dyDescent="0.25">
      <c r="A101" s="588" t="s">
        <v>1054</v>
      </c>
      <c r="B101" s="719" t="e">
        <f ca="1">VLOOKUP($A101,Data!$C$2:$H$370,6,FALSE)</f>
        <v>#VALUE!</v>
      </c>
    </row>
    <row r="102" spans="1:2" ht="13.95" customHeight="1" x14ac:dyDescent="0.25">
      <c r="A102" s="588" t="s">
        <v>1055</v>
      </c>
      <c r="B102" s="719" t="e">
        <f ca="1">VLOOKUP($A102,Data!$C$2:$H$370,6,FALSE)</f>
        <v>#VALUE!</v>
      </c>
    </row>
    <row r="103" spans="1:2" ht="13.95" customHeight="1" x14ac:dyDescent="0.25">
      <c r="A103" s="588" t="s">
        <v>1056</v>
      </c>
      <c r="B103" s="719" t="e">
        <f ca="1">VLOOKUP($A103,Data!$C$2:$H$370,6,FALSE)</f>
        <v>#VALUE!</v>
      </c>
    </row>
    <row r="104" spans="1:2" ht="13.95" customHeight="1" x14ac:dyDescent="0.25">
      <c r="A104" s="588" t="s">
        <v>1057</v>
      </c>
      <c r="B104" s="719" t="e">
        <f ca="1">VLOOKUP($A104,Data!$C$2:$H$370,6,FALSE)</f>
        <v>#VALUE!</v>
      </c>
    </row>
    <row r="105" spans="1:2" ht="13.95" customHeight="1" x14ac:dyDescent="0.25">
      <c r="A105" s="588" t="s">
        <v>1058</v>
      </c>
      <c r="B105" s="719" t="e">
        <f ca="1">VLOOKUP($A105,Data!$C$2:$H$370,6,FALSE)</f>
        <v>#VALUE!</v>
      </c>
    </row>
    <row r="106" spans="1:2" ht="13.95" customHeight="1" x14ac:dyDescent="0.25">
      <c r="A106" s="588" t="s">
        <v>345</v>
      </c>
      <c r="B106" s="719" t="e">
        <f ca="1">VLOOKUP($A106,Data!$C$2:$H$370,6,FALSE)</f>
        <v>#VALUE!</v>
      </c>
    </row>
    <row r="107" spans="1:2" ht="13.95" customHeight="1" x14ac:dyDescent="0.25">
      <c r="A107" s="588" t="s">
        <v>346</v>
      </c>
      <c r="B107" s="719" t="e">
        <f ca="1">VLOOKUP($A107,Data!$C$2:$H$370,6,FALSE)</f>
        <v>#VALUE!</v>
      </c>
    </row>
    <row r="108" spans="1:2" ht="13.95" customHeight="1" x14ac:dyDescent="0.25">
      <c r="A108" s="588" t="s">
        <v>347</v>
      </c>
      <c r="B108" s="719" t="e">
        <f ca="1">VLOOKUP($A108,Data!$C$2:$H$370,6,FALSE)</f>
        <v>#VALUE!</v>
      </c>
    </row>
    <row r="109" spans="1:2" ht="13.95" customHeight="1" x14ac:dyDescent="0.25">
      <c r="A109" s="588" t="s">
        <v>348</v>
      </c>
      <c r="B109" s="719" t="e">
        <f ca="1">VLOOKUP($A109,Data!$C$2:$H$370,6,FALSE)</f>
        <v>#VALUE!</v>
      </c>
    </row>
    <row r="110" spans="1:2" ht="13.95" customHeight="1" x14ac:dyDescent="0.25">
      <c r="A110" s="588" t="s">
        <v>349</v>
      </c>
      <c r="B110" s="719" t="e">
        <f ca="1">VLOOKUP($A110,Data!$C$2:$H$370,6,FALSE)</f>
        <v>#VALUE!</v>
      </c>
    </row>
    <row r="111" spans="1:2" ht="13.95" customHeight="1" x14ac:dyDescent="0.25">
      <c r="A111" s="588" t="s">
        <v>350</v>
      </c>
      <c r="B111" s="719" t="e">
        <f ca="1">VLOOKUP($A111,Data!$C$2:$H$370,6,FALSE)</f>
        <v>#VALUE!</v>
      </c>
    </row>
    <row r="112" spans="1:2" ht="13.95" customHeight="1" x14ac:dyDescent="0.25">
      <c r="A112" s="588" t="s">
        <v>351</v>
      </c>
      <c r="B112" s="719" t="e">
        <f ca="1">VLOOKUP($A112,Data!$C$2:$H$370,6,FALSE)</f>
        <v>#VALUE!</v>
      </c>
    </row>
    <row r="113" spans="1:2" ht="13.95" customHeight="1" x14ac:dyDescent="0.25">
      <c r="A113" s="588" t="s">
        <v>352</v>
      </c>
      <c r="B113" s="719" t="e">
        <f ca="1">VLOOKUP($A113,Data!$C$2:$H$370,6,FALSE)</f>
        <v>#VALUE!</v>
      </c>
    </row>
    <row r="114" spans="1:2" ht="13.95" customHeight="1" x14ac:dyDescent="0.25">
      <c r="A114" s="588" t="s">
        <v>353</v>
      </c>
      <c r="B114" s="719" t="e">
        <f ca="1">VLOOKUP($A114,Data!$C$2:$H$370,6,FALSE)</f>
        <v>#VALUE!</v>
      </c>
    </row>
    <row r="115" spans="1:2" ht="13.95" customHeight="1" x14ac:dyDescent="0.25">
      <c r="A115" s="588" t="s">
        <v>1078</v>
      </c>
      <c r="B115" s="719" t="e">
        <f ca="1">VLOOKUP($A115,Data!$C$2:$H$370,6,FALSE)</f>
        <v>#VALUE!</v>
      </c>
    </row>
    <row r="116" spans="1:2" ht="13.95" customHeight="1" x14ac:dyDescent="0.25">
      <c r="A116" s="588" t="s">
        <v>354</v>
      </c>
      <c r="B116" s="719" t="e">
        <f ca="1">VLOOKUP($A116,Data!$C$2:$H$370,6,FALSE)</f>
        <v>#VALUE!</v>
      </c>
    </row>
    <row r="117" spans="1:2" ht="13.95" customHeight="1" x14ac:dyDescent="0.25">
      <c r="A117" s="588" t="s">
        <v>355</v>
      </c>
      <c r="B117" s="719" t="e">
        <f ca="1">VLOOKUP($A117,Data!$C$2:$H$370,6,FALSE)</f>
        <v>#VALUE!</v>
      </c>
    </row>
    <row r="118" spans="1:2" ht="13.95" customHeight="1" x14ac:dyDescent="0.25">
      <c r="A118" s="588" t="s">
        <v>356</v>
      </c>
      <c r="B118" s="719" t="e">
        <f ca="1">VLOOKUP($A118,Data!$C$2:$H$370,6,FALSE)</f>
        <v>#VALUE!</v>
      </c>
    </row>
    <row r="119" spans="1:2" ht="13.95" customHeight="1" x14ac:dyDescent="0.25">
      <c r="A119" s="588" t="s">
        <v>1079</v>
      </c>
      <c r="B119" s="719" t="e">
        <f ca="1">VLOOKUP($A119,Data!$C$2:$H$370,6,FALSE)</f>
        <v>#VALUE!</v>
      </c>
    </row>
    <row r="120" spans="1:2" ht="13.95" customHeight="1" x14ac:dyDescent="0.25">
      <c r="A120" s="588" t="s">
        <v>1080</v>
      </c>
      <c r="B120" s="719" t="e">
        <f ca="1">VLOOKUP($A120,Data!$C$2:$H$370,6,FALSE)</f>
        <v>#VALUE!</v>
      </c>
    </row>
    <row r="121" spans="1:2" ht="13.95" customHeight="1" x14ac:dyDescent="0.25">
      <c r="A121" s="588" t="s">
        <v>1081</v>
      </c>
      <c r="B121" s="719" t="e">
        <f ca="1">VLOOKUP($A121,Data!$C$2:$H$370,6,FALSE)</f>
        <v>#VALUE!</v>
      </c>
    </row>
    <row r="122" spans="1:2" ht="13.95" customHeight="1" x14ac:dyDescent="0.25">
      <c r="A122" s="588" t="s">
        <v>1082</v>
      </c>
      <c r="B122" s="719" t="e">
        <f ca="1">VLOOKUP($A122,Data!$C$2:$H$370,6,FALSE)</f>
        <v>#VALUE!</v>
      </c>
    </row>
    <row r="123" spans="1:2" ht="13.95" customHeight="1" x14ac:dyDescent="0.25">
      <c r="A123" s="588" t="s">
        <v>1083</v>
      </c>
      <c r="B123" s="719" t="e">
        <f ca="1">VLOOKUP($A123,Data!$C$2:$H$370,6,FALSE)</f>
        <v>#VALUE!</v>
      </c>
    </row>
    <row r="124" spans="1:2" ht="13.95" customHeight="1" x14ac:dyDescent="0.25">
      <c r="A124" s="588" t="s">
        <v>1084</v>
      </c>
      <c r="B124" s="719" t="e">
        <f ca="1">VLOOKUP($A124,Data!$C$2:$H$370,6,FALSE)</f>
        <v>#VALUE!</v>
      </c>
    </row>
    <row r="125" spans="1:2" ht="13.95" customHeight="1" x14ac:dyDescent="0.25">
      <c r="A125" s="588" t="s">
        <v>1085</v>
      </c>
      <c r="B125" s="719" t="e">
        <f ca="1">VLOOKUP($A125,Data!$C$2:$H$370,6,FALSE)</f>
        <v>#VALUE!</v>
      </c>
    </row>
    <row r="126" spans="1:2" ht="13.95" customHeight="1" x14ac:dyDescent="0.25">
      <c r="A126" s="588" t="s">
        <v>1086</v>
      </c>
      <c r="B126" s="719" t="e">
        <f ca="1">VLOOKUP($A126,Data!$C$2:$H$370,6,FALSE)</f>
        <v>#VALUE!</v>
      </c>
    </row>
    <row r="127" spans="1:2" ht="13.95" customHeight="1" x14ac:dyDescent="0.25">
      <c r="A127" s="588" t="s">
        <v>1087</v>
      </c>
      <c r="B127" s="719" t="e">
        <f ca="1">VLOOKUP($A127,Data!$C$2:$H$370,6,FALSE)</f>
        <v>#VALUE!</v>
      </c>
    </row>
    <row r="128" spans="1:2" ht="13.95" customHeight="1" x14ac:dyDescent="0.25">
      <c r="A128" s="588" t="s">
        <v>357</v>
      </c>
      <c r="B128" s="719" t="e">
        <f ca="1">VLOOKUP($A128,Data!$C$2:$H$370,6,FALSE)</f>
        <v>#VALUE!</v>
      </c>
    </row>
    <row r="129" spans="1:2" ht="13.95" customHeight="1" x14ac:dyDescent="0.25">
      <c r="A129" s="588" t="s">
        <v>358</v>
      </c>
      <c r="B129" s="719" t="e">
        <f ca="1">VLOOKUP($A129,Data!$C$2:$H$370,6,FALSE)</f>
        <v>#VALUE!</v>
      </c>
    </row>
    <row r="130" spans="1:2" ht="13.95" customHeight="1" x14ac:dyDescent="0.25">
      <c r="A130" s="588" t="s">
        <v>359</v>
      </c>
      <c r="B130" s="719" t="e">
        <f ca="1">VLOOKUP($A130,Data!$C$2:$H$370,6,FALSE)</f>
        <v>#VALUE!</v>
      </c>
    </row>
    <row r="131" spans="1:2" ht="13.95" customHeight="1" x14ac:dyDescent="0.25">
      <c r="A131" s="588" t="s">
        <v>360</v>
      </c>
      <c r="B131" s="719" t="e">
        <f ca="1">VLOOKUP($A131,Data!$C$2:$H$370,6,FALSE)</f>
        <v>#VALUE!</v>
      </c>
    </row>
    <row r="132" spans="1:2" ht="13.95" customHeight="1" x14ac:dyDescent="0.25">
      <c r="A132" s="588" t="s">
        <v>1088</v>
      </c>
      <c r="B132" s="719" t="e">
        <f ca="1">VLOOKUP($A132,Data!$C$2:$H$370,6,FALSE)</f>
        <v>#VALUE!</v>
      </c>
    </row>
    <row r="133" spans="1:2" ht="13.95" customHeight="1" x14ac:dyDescent="0.25">
      <c r="A133" s="588" t="s">
        <v>1089</v>
      </c>
      <c r="B133" s="719" t="e">
        <f ca="1">VLOOKUP($A133,Data!$C$2:$H$370,6,FALSE)</f>
        <v>#VALUE!</v>
      </c>
    </row>
    <row r="134" spans="1:2" ht="13.95" customHeight="1" x14ac:dyDescent="0.25">
      <c r="A134" s="588" t="s">
        <v>1090</v>
      </c>
      <c r="B134" s="719" t="e">
        <f ca="1">VLOOKUP($A134,Data!$C$2:$H$370,6,FALSE)</f>
        <v>#VALUE!</v>
      </c>
    </row>
    <row r="135" spans="1:2" ht="13.95" customHeight="1" x14ac:dyDescent="0.25">
      <c r="A135" s="588" t="s">
        <v>1091</v>
      </c>
      <c r="B135" s="719" t="e">
        <f ca="1">VLOOKUP($A135,Data!$C$2:$H$370,6,FALSE)</f>
        <v>#VALUE!</v>
      </c>
    </row>
    <row r="136" spans="1:2" ht="13.95" customHeight="1" x14ac:dyDescent="0.25">
      <c r="A136" s="588" t="s">
        <v>1092</v>
      </c>
      <c r="B136" s="719" t="e">
        <f ca="1">VLOOKUP($A136,Data!$C$2:$H$370,6,FALSE)</f>
        <v>#VALUE!</v>
      </c>
    </row>
    <row r="137" spans="1:2" ht="13.95" customHeight="1" x14ac:dyDescent="0.25">
      <c r="A137" s="588" t="s">
        <v>1093</v>
      </c>
      <c r="B137" s="719" t="e">
        <f ca="1">VLOOKUP($A137,Data!$C$2:$H$370,6,FALSE)</f>
        <v>#VALUE!</v>
      </c>
    </row>
    <row r="138" spans="1:2" ht="13.95" customHeight="1" x14ac:dyDescent="0.25">
      <c r="A138" s="588" t="s">
        <v>361</v>
      </c>
      <c r="B138" s="719" t="e">
        <f ca="1">VLOOKUP($A138,Data!$C$2:$H$370,6,FALSE)</f>
        <v>#VALUE!</v>
      </c>
    </row>
    <row r="139" spans="1:2" ht="13.95" customHeight="1" x14ac:dyDescent="0.25">
      <c r="A139" s="588" t="s">
        <v>362</v>
      </c>
      <c r="B139" s="719" t="e">
        <f ca="1">VLOOKUP($A139,Data!$C$2:$H$370,6,FALSE)</f>
        <v>#VALUE!</v>
      </c>
    </row>
    <row r="140" spans="1:2" ht="13.95" customHeight="1" x14ac:dyDescent="0.25">
      <c r="A140" s="588" t="s">
        <v>363</v>
      </c>
      <c r="B140" s="719" t="e">
        <f ca="1">VLOOKUP($A140,Data!$C$2:$H$370,6,FALSE)</f>
        <v>#VALUE!</v>
      </c>
    </row>
    <row r="141" spans="1:2" ht="13.95" customHeight="1" x14ac:dyDescent="0.25">
      <c r="A141" s="588" t="s">
        <v>364</v>
      </c>
      <c r="B141" s="719" t="e">
        <f ca="1">VLOOKUP($A141,Data!$C$2:$H$370,6,FALSE)</f>
        <v>#VALUE!</v>
      </c>
    </row>
    <row r="142" spans="1:2" ht="13.95" customHeight="1" x14ac:dyDescent="0.25">
      <c r="A142" s="588" t="s">
        <v>365</v>
      </c>
      <c r="B142" s="719" t="e">
        <f ca="1">VLOOKUP($A142,Data!$C$2:$H$370,6,FALSE)</f>
        <v>#VALUE!</v>
      </c>
    </row>
    <row r="143" spans="1:2" ht="13.95" customHeight="1" x14ac:dyDescent="0.25">
      <c r="A143" s="588" t="s">
        <v>366</v>
      </c>
      <c r="B143" s="719" t="e">
        <f ca="1">VLOOKUP($A143,Data!$C$2:$H$370,6,FALSE)</f>
        <v>#VALUE!</v>
      </c>
    </row>
    <row r="144" spans="1:2" ht="13.95" customHeight="1" x14ac:dyDescent="0.25">
      <c r="A144" s="588" t="s">
        <v>367</v>
      </c>
      <c r="B144" s="719" t="e">
        <f ca="1">VLOOKUP($A144,Data!$C$2:$H$370,6,FALSE)</f>
        <v>#VALUE!</v>
      </c>
    </row>
    <row r="145" spans="1:2" ht="13.95" customHeight="1" x14ac:dyDescent="0.25">
      <c r="A145" s="588" t="s">
        <v>368</v>
      </c>
      <c r="B145" s="719" t="e">
        <f ca="1">VLOOKUP($A145,Data!$C$2:$H$370,6,FALSE)</f>
        <v>#VALUE!</v>
      </c>
    </row>
    <row r="146" spans="1:2" ht="13.95" customHeight="1" x14ac:dyDescent="0.25">
      <c r="A146" s="588" t="s">
        <v>372</v>
      </c>
      <c r="B146" s="719" t="e">
        <f ca="1">VLOOKUP($A146,Data!$C$2:$H$370,6,FALSE)</f>
        <v>#VALUE!</v>
      </c>
    </row>
    <row r="147" spans="1:2" ht="13.95" customHeight="1" x14ac:dyDescent="0.25">
      <c r="A147" s="588" t="s">
        <v>373</v>
      </c>
      <c r="B147" s="719" t="e">
        <f ca="1">VLOOKUP($A147,Data!$C$2:$H$370,6,FALSE)</f>
        <v>#VALUE!</v>
      </c>
    </row>
    <row r="148" spans="1:2" ht="13.95" customHeight="1" x14ac:dyDescent="0.25">
      <c r="A148" s="588" t="s">
        <v>374</v>
      </c>
      <c r="B148" s="719" t="e">
        <f ca="1">VLOOKUP($A148,Data!$C$2:$H$370,6,FALSE)</f>
        <v>#VALUE!</v>
      </c>
    </row>
    <row r="149" spans="1:2" ht="13.95" customHeight="1" x14ac:dyDescent="0.25">
      <c r="A149" s="588" t="s">
        <v>375</v>
      </c>
      <c r="B149" s="719" t="e">
        <f ca="1">VLOOKUP($A149,Data!$C$2:$H$370,6,FALSE)</f>
        <v>#VALUE!</v>
      </c>
    </row>
    <row r="150" spans="1:2" ht="13.95" customHeight="1" x14ac:dyDescent="0.25">
      <c r="A150" s="588" t="s">
        <v>376</v>
      </c>
      <c r="B150" s="719" t="e">
        <f ca="1">VLOOKUP($A150,Data!$C$2:$H$370,6,FALSE)</f>
        <v>#VALUE!</v>
      </c>
    </row>
    <row r="151" spans="1:2" ht="13.95" customHeight="1" x14ac:dyDescent="0.25">
      <c r="A151" s="588" t="s">
        <v>377</v>
      </c>
      <c r="B151" s="719" t="e">
        <f ca="1">VLOOKUP($A151,Data!$C$2:$H$370,6,FALSE)</f>
        <v>#VALUE!</v>
      </c>
    </row>
    <row r="152" spans="1:2" ht="13.95" customHeight="1" x14ac:dyDescent="0.25">
      <c r="A152" s="588" t="s">
        <v>378</v>
      </c>
      <c r="B152" s="719" t="e">
        <f ca="1">VLOOKUP($A152,Data!$C$2:$H$370,6,FALSE)</f>
        <v>#VALUE!</v>
      </c>
    </row>
    <row r="153" spans="1:2" ht="13.95" customHeight="1" x14ac:dyDescent="0.25">
      <c r="A153" s="588" t="s">
        <v>1094</v>
      </c>
      <c r="B153" s="719" t="e">
        <f ca="1">VLOOKUP($A153,Data!$C$2:$H$370,6,FALSE)</f>
        <v>#VALUE!</v>
      </c>
    </row>
    <row r="154" spans="1:2" ht="13.95" customHeight="1" x14ac:dyDescent="0.25">
      <c r="A154" s="588" t="s">
        <v>1095</v>
      </c>
      <c r="B154" s="719" t="e">
        <f ca="1">VLOOKUP($A154,Data!$C$2:$H$370,6,FALSE)</f>
        <v>#VALUE!</v>
      </c>
    </row>
    <row r="155" spans="1:2" ht="13.95" customHeight="1" x14ac:dyDescent="0.25">
      <c r="A155" s="588" t="s">
        <v>1096</v>
      </c>
      <c r="B155" s="719" t="e">
        <f ca="1">VLOOKUP($A155,Data!$C$2:$H$370,6,FALSE)</f>
        <v>#VALUE!</v>
      </c>
    </row>
    <row r="156" spans="1:2" ht="13.95" customHeight="1" x14ac:dyDescent="0.25">
      <c r="A156" s="588" t="s">
        <v>1097</v>
      </c>
      <c r="B156" s="719" t="e">
        <f ca="1">VLOOKUP($A156,Data!$C$2:$H$370,6,FALSE)</f>
        <v>#VALUE!</v>
      </c>
    </row>
    <row r="157" spans="1:2" ht="13.95" customHeight="1" x14ac:dyDescent="0.25">
      <c r="A157" s="588" t="s">
        <v>1098</v>
      </c>
      <c r="B157" s="719" t="e">
        <f ca="1">VLOOKUP($A157,Data!$C$2:$H$370,6,FALSE)</f>
        <v>#VALUE!</v>
      </c>
    </row>
    <row r="158" spans="1:2" ht="13.95" customHeight="1" x14ac:dyDescent="0.25">
      <c r="A158" s="588" t="s">
        <v>1099</v>
      </c>
      <c r="B158" s="719" t="e">
        <f ca="1">VLOOKUP($A158,Data!$C$2:$H$370,6,FALSE)</f>
        <v>#VALUE!</v>
      </c>
    </row>
    <row r="159" spans="1:2" ht="13.95" customHeight="1" x14ac:dyDescent="0.25">
      <c r="A159" s="588" t="s">
        <v>1100</v>
      </c>
      <c r="B159" s="719" t="e">
        <f ca="1">VLOOKUP($A159,Data!$C$2:$H$370,6,FALSE)</f>
        <v>#VALUE!</v>
      </c>
    </row>
    <row r="160" spans="1:2" ht="13.95" customHeight="1" x14ac:dyDescent="0.25">
      <c r="A160" s="588" t="s">
        <v>89</v>
      </c>
      <c r="B160" s="719" t="e">
        <f ca="1">VLOOKUP($A160,Data!$C$2:$H$370,6,FALSE)</f>
        <v>#VALUE!</v>
      </c>
    </row>
    <row r="161" spans="1:2" ht="13.95" customHeight="1" x14ac:dyDescent="0.25">
      <c r="A161" s="588" t="s">
        <v>91</v>
      </c>
      <c r="B161" s="719" t="e">
        <f ca="1">VLOOKUP($A161,Data!$C$2:$H$370,6,FALSE)</f>
        <v>#VALUE!</v>
      </c>
    </row>
    <row r="162" spans="1:2" ht="13.95" customHeight="1" x14ac:dyDescent="0.25">
      <c r="A162" s="588" t="s">
        <v>92</v>
      </c>
      <c r="B162" s="719" t="e">
        <f ca="1">VLOOKUP($A162,Data!$C$2:$H$370,6,FALSE)</f>
        <v>#VALUE!</v>
      </c>
    </row>
    <row r="163" spans="1:2" ht="13.95" customHeight="1" x14ac:dyDescent="0.25">
      <c r="A163" s="588" t="s">
        <v>94</v>
      </c>
      <c r="B163" s="719" t="e">
        <f ca="1">VLOOKUP($A163,Data!$C$2:$H$370,6,FALSE)</f>
        <v>#VALUE!</v>
      </c>
    </row>
    <row r="164" spans="1:2" ht="13.95" customHeight="1" x14ac:dyDescent="0.25">
      <c r="A164" s="588" t="s">
        <v>96</v>
      </c>
      <c r="B164" s="719" t="e">
        <f ca="1">VLOOKUP($A164,Data!$C$2:$H$370,6,FALSE)</f>
        <v>#VALUE!</v>
      </c>
    </row>
    <row r="165" spans="1:2" ht="13.95" customHeight="1" x14ac:dyDescent="0.25">
      <c r="A165" s="588" t="s">
        <v>98</v>
      </c>
      <c r="B165" s="719" t="e">
        <f ca="1">VLOOKUP($A165,Data!$C$2:$H$370,6,FALSE)</f>
        <v>#VALUE!</v>
      </c>
    </row>
    <row r="166" spans="1:2" ht="13.95" customHeight="1" x14ac:dyDescent="0.25">
      <c r="A166" s="588" t="s">
        <v>1025</v>
      </c>
      <c r="B166" s="719" t="e">
        <f ca="1">VLOOKUP($A166,Data!$C$2:$H$370,6,FALSE)</f>
        <v>#VALUE!</v>
      </c>
    </row>
    <row r="167" spans="1:2" ht="13.95" customHeight="1" x14ac:dyDescent="0.25">
      <c r="A167" s="588" t="s">
        <v>1026</v>
      </c>
      <c r="B167" s="719" t="e">
        <f ca="1">VLOOKUP($A167,Data!$C$2:$H$370,6,FALSE)</f>
        <v>#VALUE!</v>
      </c>
    </row>
    <row r="168" spans="1:2" ht="13.95" customHeight="1" x14ac:dyDescent="0.25">
      <c r="A168" s="588" t="s">
        <v>1027</v>
      </c>
      <c r="B168" s="719" t="e">
        <f ca="1">VLOOKUP($A168,Data!$C$2:$H$370,6,FALSE)</f>
        <v>#VALUE!</v>
      </c>
    </row>
    <row r="169" spans="1:2" ht="13.95" customHeight="1" x14ac:dyDescent="0.25">
      <c r="A169" s="588" t="s">
        <v>100</v>
      </c>
      <c r="B169" s="719" t="e">
        <f ca="1">VLOOKUP($A169,Data!$C$2:$H$370,6,FALSE)</f>
        <v>#VALUE!</v>
      </c>
    </row>
    <row r="170" spans="1:2" ht="13.95" customHeight="1" x14ac:dyDescent="0.25">
      <c r="A170" s="588" t="s">
        <v>101</v>
      </c>
      <c r="B170" s="719" t="e">
        <f ca="1">VLOOKUP($A170,Data!$C$2:$H$370,6,FALSE)</f>
        <v>#VALUE!</v>
      </c>
    </row>
    <row r="171" spans="1:2" ht="13.95" customHeight="1" x14ac:dyDescent="0.25">
      <c r="A171" s="588" t="s">
        <v>103</v>
      </c>
      <c r="B171" s="719" t="e">
        <f ca="1">VLOOKUP($A171,Data!$C$2:$H$370,6,FALSE)</f>
        <v>#VALUE!</v>
      </c>
    </row>
    <row r="172" spans="1:2" ht="13.95" customHeight="1" x14ac:dyDescent="0.25">
      <c r="A172" s="588" t="s">
        <v>105</v>
      </c>
      <c r="B172" s="719" t="e">
        <f ca="1">VLOOKUP($A172,Data!$C$2:$H$370,6,FALSE)</f>
        <v>#VALUE!</v>
      </c>
    </row>
    <row r="173" spans="1:2" ht="13.95" customHeight="1" x14ac:dyDescent="0.25">
      <c r="A173" s="588" t="s">
        <v>107</v>
      </c>
      <c r="B173" s="719" t="e">
        <f ca="1">VLOOKUP($A173,Data!$C$2:$H$370,6,FALSE)</f>
        <v>#VALUE!</v>
      </c>
    </row>
    <row r="174" spans="1:2" ht="13.95" customHeight="1" x14ac:dyDescent="0.25">
      <c r="A174" s="588" t="s">
        <v>108</v>
      </c>
      <c r="B174" s="719" t="e">
        <f ca="1">VLOOKUP($A174,Data!$C$2:$H$370,6,FALSE)</f>
        <v>#VALUE!</v>
      </c>
    </row>
    <row r="175" spans="1:2" ht="13.95" customHeight="1" x14ac:dyDescent="0.25">
      <c r="A175" s="588" t="s">
        <v>1028</v>
      </c>
      <c r="B175" s="719" t="e">
        <f ca="1">VLOOKUP($A175,Data!$C$2:$H$370,6,FALSE)</f>
        <v>#VALUE!</v>
      </c>
    </row>
    <row r="176" spans="1:2" ht="13.95" customHeight="1" x14ac:dyDescent="0.25">
      <c r="A176" s="588" t="s">
        <v>1029</v>
      </c>
      <c r="B176" s="719" t="e">
        <f ca="1">VLOOKUP($A176,Data!$C$2:$H$370,6,FALSE)</f>
        <v>#VALUE!</v>
      </c>
    </row>
    <row r="177" spans="1:2" ht="13.95" customHeight="1" x14ac:dyDescent="0.25">
      <c r="A177" s="588" t="s">
        <v>1030</v>
      </c>
      <c r="B177" s="719" t="e">
        <f ca="1">VLOOKUP($A177,Data!$C$2:$H$370,6,FALSE)</f>
        <v>#VALUE!</v>
      </c>
    </row>
    <row r="178" spans="1:2" ht="13.95" customHeight="1" x14ac:dyDescent="0.25">
      <c r="A178" s="588" t="s">
        <v>111</v>
      </c>
      <c r="B178" s="719" t="e">
        <f ca="1">VLOOKUP($A178,Data!$C$2:$H$370,6,FALSE)</f>
        <v>#VALUE!</v>
      </c>
    </row>
    <row r="179" spans="1:2" ht="13.95" customHeight="1" x14ac:dyDescent="0.25">
      <c r="A179" s="588" t="s">
        <v>113</v>
      </c>
      <c r="B179" s="719" t="e">
        <f ca="1">VLOOKUP($A179,Data!$C$2:$H$370,6,FALSE)</f>
        <v>#VALUE!</v>
      </c>
    </row>
    <row r="180" spans="1:2" ht="13.95" customHeight="1" x14ac:dyDescent="0.25">
      <c r="A180" s="588" t="s">
        <v>115</v>
      </c>
      <c r="B180" s="719" t="e">
        <f ca="1">VLOOKUP($A180,Data!$C$2:$H$370,6,FALSE)</f>
        <v>#VALUE!</v>
      </c>
    </row>
    <row r="181" spans="1:2" ht="13.95" customHeight="1" x14ac:dyDescent="0.25">
      <c r="A181" s="588" t="s">
        <v>117</v>
      </c>
      <c r="B181" s="719" t="e">
        <f ca="1">VLOOKUP($A181,Data!$C$2:$H$370,6,FALSE)</f>
        <v>#VALUE!</v>
      </c>
    </row>
    <row r="182" spans="1:2" ht="13.95" customHeight="1" x14ac:dyDescent="0.25">
      <c r="A182" s="588" t="s">
        <v>119</v>
      </c>
      <c r="B182" s="719" t="e">
        <f ca="1">VLOOKUP($A182,Data!$C$2:$H$370,6,FALSE)</f>
        <v>#VALUE!</v>
      </c>
    </row>
    <row r="183" spans="1:2" ht="13.95" customHeight="1" x14ac:dyDescent="0.25">
      <c r="A183" s="588" t="s">
        <v>120</v>
      </c>
      <c r="B183" s="719" t="e">
        <f ca="1">VLOOKUP($A183,Data!$C$2:$H$370,6,FALSE)</f>
        <v>#VALUE!</v>
      </c>
    </row>
    <row r="184" spans="1:2" ht="13.95" customHeight="1" x14ac:dyDescent="0.25">
      <c r="A184" s="588" t="s">
        <v>122</v>
      </c>
      <c r="B184" s="719" t="e">
        <f ca="1">VLOOKUP($A184,Data!$C$2:$H$370,6,FALSE)</f>
        <v>#VALUE!</v>
      </c>
    </row>
    <row r="185" spans="1:2" ht="13.95" customHeight="1" x14ac:dyDescent="0.25">
      <c r="A185" s="588" t="s">
        <v>125</v>
      </c>
      <c r="B185" s="719" t="e">
        <f ca="1">VLOOKUP($A185,Data!$C$2:$H$370,6,FALSE)</f>
        <v>#VALUE!</v>
      </c>
    </row>
    <row r="186" spans="1:2" ht="13.95" customHeight="1" x14ac:dyDescent="0.25">
      <c r="A186" s="588" t="s">
        <v>128</v>
      </c>
      <c r="B186" s="719" t="e">
        <f ca="1">VLOOKUP($A186,Data!$C$2:$H$370,6,FALSE)</f>
        <v>#VALUE!</v>
      </c>
    </row>
    <row r="187" spans="1:2" ht="13.95" customHeight="1" x14ac:dyDescent="0.25">
      <c r="A187" s="588" t="s">
        <v>131</v>
      </c>
      <c r="B187" s="719" t="e">
        <f ca="1">VLOOKUP($A187,Data!$C$2:$H$370,6,FALSE)</f>
        <v>#VALUE!</v>
      </c>
    </row>
    <row r="188" spans="1:2" ht="13.95" customHeight="1" x14ac:dyDescent="0.25">
      <c r="A188" s="588" t="s">
        <v>134</v>
      </c>
      <c r="B188" s="719" t="e">
        <f ca="1">VLOOKUP($A188,Data!$C$2:$H$370,6,FALSE)</f>
        <v>#VALUE!</v>
      </c>
    </row>
    <row r="189" spans="1:2" ht="13.95" customHeight="1" x14ac:dyDescent="0.25">
      <c r="A189" s="588" t="s">
        <v>136</v>
      </c>
      <c r="B189" s="719" t="e">
        <f ca="1">VLOOKUP($A189,Data!$C$2:$H$370,6,FALSE)</f>
        <v>#VALUE!</v>
      </c>
    </row>
    <row r="190" spans="1:2" ht="13.95" customHeight="1" x14ac:dyDescent="0.25">
      <c r="A190" s="588" t="s">
        <v>139</v>
      </c>
      <c r="B190" s="719" t="e">
        <f ca="1">VLOOKUP($A190,Data!$C$2:$H$370,6,FALSE)</f>
        <v>#VALUE!</v>
      </c>
    </row>
    <row r="191" spans="1:2" ht="13.95" customHeight="1" x14ac:dyDescent="0.25">
      <c r="A191" s="588" t="s">
        <v>142</v>
      </c>
      <c r="B191" s="719" t="e">
        <f ca="1">VLOOKUP($A191,Data!$C$2:$H$370,6,FALSE)</f>
        <v>#VALUE!</v>
      </c>
    </row>
    <row r="192" spans="1:2" ht="13.95" customHeight="1" x14ac:dyDescent="0.25">
      <c r="A192" s="588" t="s">
        <v>145</v>
      </c>
      <c r="B192" s="719" t="e">
        <f ca="1">VLOOKUP($A192,Data!$C$2:$H$370,6,FALSE)</f>
        <v>#VALUE!</v>
      </c>
    </row>
    <row r="193" spans="1:2" ht="13.95" customHeight="1" x14ac:dyDescent="0.25">
      <c r="A193" s="588" t="s">
        <v>148</v>
      </c>
      <c r="B193" s="719" t="e">
        <f ca="1">VLOOKUP($A193,Data!$C$2:$H$370,6,FALSE)</f>
        <v>#VALUE!</v>
      </c>
    </row>
    <row r="194" spans="1:2" ht="13.95" customHeight="1" x14ac:dyDescent="0.25">
      <c r="A194" s="588" t="s">
        <v>150</v>
      </c>
      <c r="B194" s="719" t="e">
        <f ca="1">VLOOKUP($A194,Data!$C$2:$H$370,6,FALSE)</f>
        <v>#VALUE!</v>
      </c>
    </row>
    <row r="195" spans="1:2" ht="13.95" customHeight="1" x14ac:dyDescent="0.25">
      <c r="A195" s="588" t="s">
        <v>152</v>
      </c>
      <c r="B195" s="719" t="e">
        <f ca="1">VLOOKUP($A195,Data!$C$2:$H$370,6,FALSE)</f>
        <v>#VALUE!</v>
      </c>
    </row>
    <row r="196" spans="1:2" ht="13.95" customHeight="1" x14ac:dyDescent="0.25">
      <c r="A196" s="588" t="s">
        <v>419</v>
      </c>
      <c r="B196" s="719" t="e">
        <f ca="1">VLOOKUP($A196,Data!$C$2:$H$370,6,FALSE)</f>
        <v>#VALUE!</v>
      </c>
    </row>
    <row r="197" spans="1:2" ht="13.95" customHeight="1" x14ac:dyDescent="0.25">
      <c r="A197" s="588" t="s">
        <v>420</v>
      </c>
      <c r="B197" s="719" t="e">
        <f ca="1">VLOOKUP($A197,Data!$C$2:$H$370,6,FALSE)</f>
        <v>#VALUE!</v>
      </c>
    </row>
    <row r="198" spans="1:2" ht="13.95" customHeight="1" x14ac:dyDescent="0.25">
      <c r="A198" s="588" t="s">
        <v>421</v>
      </c>
      <c r="B198" s="719" t="e">
        <f ca="1">VLOOKUP($A198,Data!$C$2:$H$370,6,FALSE)</f>
        <v>#VALUE!</v>
      </c>
    </row>
    <row r="199" spans="1:2" ht="13.95" customHeight="1" x14ac:dyDescent="0.25">
      <c r="A199" s="588" t="s">
        <v>422</v>
      </c>
      <c r="B199" s="719" t="e">
        <f ca="1">VLOOKUP($A199,Data!$C$2:$H$370,6,FALSE)</f>
        <v>#VALUE!</v>
      </c>
    </row>
    <row r="200" spans="1:2" ht="13.95" customHeight="1" x14ac:dyDescent="0.25">
      <c r="A200" s="588" t="s">
        <v>423</v>
      </c>
      <c r="B200" s="719" t="e">
        <f ca="1">VLOOKUP($A200,Data!$C$2:$H$370,6,FALSE)</f>
        <v>#VALUE!</v>
      </c>
    </row>
    <row r="201" spans="1:2" ht="13.95" customHeight="1" x14ac:dyDescent="0.25">
      <c r="A201" s="588" t="s">
        <v>424</v>
      </c>
      <c r="B201" s="719" t="e">
        <f ca="1">VLOOKUP($A201,Data!$C$2:$H$370,6,FALSE)</f>
        <v>#VALUE!</v>
      </c>
    </row>
    <row r="202" spans="1:2" ht="13.95" customHeight="1" x14ac:dyDescent="0.25">
      <c r="A202" s="588" t="s">
        <v>425</v>
      </c>
      <c r="B202" s="719" t="e">
        <f ca="1">VLOOKUP($A202,Data!$C$2:$H$370,6,FALSE)</f>
        <v>#VALUE!</v>
      </c>
    </row>
    <row r="203" spans="1:2" ht="13.95" customHeight="1" x14ac:dyDescent="0.25">
      <c r="A203" s="588" t="s">
        <v>426</v>
      </c>
      <c r="B203" s="719" t="e">
        <f ca="1">VLOOKUP($A203,Data!$C$2:$H$370,6,FALSE)</f>
        <v>#VALUE!</v>
      </c>
    </row>
    <row r="204" spans="1:2" ht="13.95" customHeight="1" x14ac:dyDescent="0.25">
      <c r="A204" s="588" t="s">
        <v>427</v>
      </c>
      <c r="B204" s="719" t="e">
        <f ca="1">VLOOKUP($A204,Data!$C$2:$H$370,6,FALSE)</f>
        <v>#VALUE!</v>
      </c>
    </row>
    <row r="205" spans="1:2" ht="13.95" customHeight="1" x14ac:dyDescent="0.25">
      <c r="A205" s="588" t="s">
        <v>428</v>
      </c>
      <c r="B205" s="719" t="e">
        <f ca="1">VLOOKUP($A205,Data!$C$2:$H$370,6,FALSE)</f>
        <v>#VALUE!</v>
      </c>
    </row>
    <row r="206" spans="1:2" ht="13.95" customHeight="1" x14ac:dyDescent="0.25">
      <c r="A206" s="588" t="s">
        <v>429</v>
      </c>
      <c r="B206" s="719" t="e">
        <f ca="1">VLOOKUP($A206,Data!$C$2:$H$370,6,FALSE)</f>
        <v>#VALUE!</v>
      </c>
    </row>
    <row r="207" spans="1:2" ht="13.95" customHeight="1" x14ac:dyDescent="0.25">
      <c r="A207" s="588" t="s">
        <v>430</v>
      </c>
      <c r="B207" s="719" t="e">
        <f ca="1">VLOOKUP($A207,Data!$C$2:$H$370,6,FALSE)</f>
        <v>#VALUE!</v>
      </c>
    </row>
    <row r="208" spans="1:2" ht="13.95" customHeight="1" x14ac:dyDescent="0.25">
      <c r="A208" s="588" t="s">
        <v>431</v>
      </c>
      <c r="B208" s="719" t="e">
        <f ca="1">VLOOKUP($A208,Data!$C$2:$H$370,6,FALSE)</f>
        <v>#VALUE!</v>
      </c>
    </row>
    <row r="209" spans="1:2" ht="13.95" customHeight="1" x14ac:dyDescent="0.25">
      <c r="A209" s="588" t="s">
        <v>432</v>
      </c>
      <c r="B209" s="719" t="e">
        <f ca="1">VLOOKUP($A209,Data!$C$2:$H$370,6,FALSE)</f>
        <v>#VALUE!</v>
      </c>
    </row>
    <row r="210" spans="1:2" ht="13.95" customHeight="1" x14ac:dyDescent="0.25">
      <c r="A210" s="588" t="s">
        <v>433</v>
      </c>
      <c r="B210" s="719" t="e">
        <f ca="1">VLOOKUP($A210,Data!$C$2:$H$370,6,FALSE)</f>
        <v>#VALUE!</v>
      </c>
    </row>
    <row r="211" spans="1:2" ht="13.95" customHeight="1" x14ac:dyDescent="0.25">
      <c r="A211" s="588" t="s">
        <v>434</v>
      </c>
      <c r="B211" s="719" t="e">
        <f ca="1">VLOOKUP($A211,Data!$C$2:$H$370,6,FALSE)</f>
        <v>#VALUE!</v>
      </c>
    </row>
    <row r="212" spans="1:2" ht="13.95" customHeight="1" x14ac:dyDescent="0.25">
      <c r="A212" s="588" t="s">
        <v>435</v>
      </c>
      <c r="B212" s="719" t="e">
        <f ca="1">VLOOKUP($A212,Data!$C$2:$H$370,6,FALSE)</f>
        <v>#VALUE!</v>
      </c>
    </row>
    <row r="213" spans="1:2" ht="13.95" customHeight="1" x14ac:dyDescent="0.25">
      <c r="A213" s="588" t="s">
        <v>436</v>
      </c>
      <c r="B213" s="719" t="e">
        <f ca="1">VLOOKUP($A213,Data!$C$2:$H$370,6,FALSE)</f>
        <v>#VALUE!</v>
      </c>
    </row>
    <row r="214" spans="1:2" ht="13.95" customHeight="1" x14ac:dyDescent="0.25">
      <c r="A214" s="588" t="s">
        <v>437</v>
      </c>
      <c r="B214" s="719" t="e">
        <f ca="1">VLOOKUP($A214,Data!$C$2:$H$370,6,FALSE)</f>
        <v>#VALUE!</v>
      </c>
    </row>
    <row r="215" spans="1:2" ht="13.95" customHeight="1" x14ac:dyDescent="0.25">
      <c r="A215" s="588" t="s">
        <v>438</v>
      </c>
      <c r="B215" s="719" t="e">
        <f ca="1">VLOOKUP($A215,Data!$C$2:$H$370,6,FALSE)</f>
        <v>#VALUE!</v>
      </c>
    </row>
    <row r="216" spans="1:2" ht="13.95" customHeight="1" x14ac:dyDescent="0.25">
      <c r="A216" s="588" t="s">
        <v>439</v>
      </c>
      <c r="B216" s="719" t="e">
        <f ca="1">VLOOKUP($A216,Data!$C$2:$H$370,6,FALSE)</f>
        <v>#VALUE!</v>
      </c>
    </row>
    <row r="217" spans="1:2" ht="13.95" customHeight="1" x14ac:dyDescent="0.25">
      <c r="A217" s="588" t="s">
        <v>440</v>
      </c>
      <c r="B217" s="719" t="e">
        <f ca="1">VLOOKUP($A217,Data!$C$2:$H$370,6,FALSE)</f>
        <v>#VALUE!</v>
      </c>
    </row>
    <row r="218" spans="1:2" ht="13.95" customHeight="1" x14ac:dyDescent="0.25">
      <c r="A218" s="588" t="s">
        <v>441</v>
      </c>
      <c r="B218" s="719" t="e">
        <f ca="1">VLOOKUP($A218,Data!$C$2:$H$370,6,FALSE)</f>
        <v>#VALUE!</v>
      </c>
    </row>
    <row r="219" spans="1:2" ht="13.95" customHeight="1" x14ac:dyDescent="0.25">
      <c r="A219" s="588" t="s">
        <v>442</v>
      </c>
      <c r="B219" s="719" t="e">
        <f ca="1">VLOOKUP($A219,Data!$C$2:$H$370,6,FALSE)</f>
        <v>#VALUE!</v>
      </c>
    </row>
    <row r="220" spans="1:2" ht="13.95" customHeight="1" x14ac:dyDescent="0.25">
      <c r="A220" s="588" t="s">
        <v>443</v>
      </c>
      <c r="B220" s="719" t="e">
        <f ca="1">VLOOKUP($A220,Data!$C$2:$H$370,6,FALSE)</f>
        <v>#VALUE!</v>
      </c>
    </row>
    <row r="221" spans="1:2" ht="13.95" customHeight="1" x14ac:dyDescent="0.25">
      <c r="A221" s="588" t="s">
        <v>444</v>
      </c>
      <c r="B221" s="719" t="e">
        <f ca="1">VLOOKUP($A221,Data!$C$2:$H$370,6,FALSE)</f>
        <v>#VALUE!</v>
      </c>
    </row>
    <row r="222" spans="1:2" ht="13.95" customHeight="1" x14ac:dyDescent="0.25">
      <c r="A222" s="588" t="s">
        <v>445</v>
      </c>
      <c r="B222" s="719" t="e">
        <f ca="1">VLOOKUP($A222,Data!$C$2:$H$370,6,FALSE)</f>
        <v>#VALUE!</v>
      </c>
    </row>
    <row r="223" spans="1:2" ht="13.95" customHeight="1" x14ac:dyDescent="0.25">
      <c r="A223" s="588" t="s">
        <v>379</v>
      </c>
      <c r="B223" s="719" t="e">
        <f ca="1">VLOOKUP($A223,Data!$C$2:$H$370,6,FALSE)</f>
        <v>#VALUE!</v>
      </c>
    </row>
    <row r="224" spans="1:2" ht="13.95" customHeight="1" x14ac:dyDescent="0.25">
      <c r="A224" s="588" t="s">
        <v>380</v>
      </c>
      <c r="B224" s="719" t="e">
        <f ca="1">VLOOKUP($A224,Data!$C$2:$H$370,6,FALSE)</f>
        <v>#VALUE!</v>
      </c>
    </row>
    <row r="225" spans="1:2" ht="13.95" customHeight="1" x14ac:dyDescent="0.25">
      <c r="A225" s="588" t="s">
        <v>381</v>
      </c>
      <c r="B225" s="719" t="e">
        <f ca="1">VLOOKUP($A225,Data!$C$2:$H$370,6,FALSE)</f>
        <v>#VALUE!</v>
      </c>
    </row>
    <row r="226" spans="1:2" ht="13.95" customHeight="1" x14ac:dyDescent="0.25">
      <c r="A226" s="588" t="s">
        <v>382</v>
      </c>
      <c r="B226" s="719" t="e">
        <f ca="1">VLOOKUP($A226,Data!$C$2:$H$370,6,FALSE)</f>
        <v>#VALUE!</v>
      </c>
    </row>
    <row r="227" spans="1:2" ht="13.95" customHeight="1" x14ac:dyDescent="0.25">
      <c r="A227" s="588" t="s">
        <v>383</v>
      </c>
      <c r="B227" s="719" t="e">
        <f ca="1">VLOOKUP($A227,Data!$C$2:$H$370,6,FALSE)</f>
        <v>#VALUE!</v>
      </c>
    </row>
    <row r="228" spans="1:2" ht="13.95" customHeight="1" x14ac:dyDescent="0.25">
      <c r="A228" s="588" t="s">
        <v>384</v>
      </c>
      <c r="B228" s="719" t="e">
        <f ca="1">VLOOKUP($A228,Data!$C$2:$H$370,6,FALSE)</f>
        <v>#VALUE!</v>
      </c>
    </row>
    <row r="229" spans="1:2" ht="13.95" customHeight="1" x14ac:dyDescent="0.25">
      <c r="A229" s="588" t="s">
        <v>385</v>
      </c>
      <c r="B229" s="719" t="e">
        <f ca="1">VLOOKUP($A229,Data!$C$2:$H$370,6,FALSE)</f>
        <v>#VALUE!</v>
      </c>
    </row>
    <row r="230" spans="1:2" ht="13.95" customHeight="1" x14ac:dyDescent="0.25">
      <c r="A230" s="588" t="s">
        <v>386</v>
      </c>
      <c r="B230" s="719" t="e">
        <f ca="1">VLOOKUP($A230,Data!$C$2:$H$370,6,FALSE)</f>
        <v>#VALUE!</v>
      </c>
    </row>
    <row r="231" spans="1:2" ht="13.95" customHeight="1" x14ac:dyDescent="0.25">
      <c r="A231" s="588" t="s">
        <v>387</v>
      </c>
      <c r="B231" s="719" t="e">
        <f ca="1">VLOOKUP($A231,Data!$C$2:$H$370,6,FALSE)</f>
        <v>#VALUE!</v>
      </c>
    </row>
    <row r="232" spans="1:2" ht="13.95" customHeight="1" x14ac:dyDescent="0.25">
      <c r="A232" s="588" t="s">
        <v>388</v>
      </c>
      <c r="B232" s="719" t="e">
        <f ca="1">VLOOKUP($A232,Data!$C$2:$H$370,6,FALSE)</f>
        <v>#VALUE!</v>
      </c>
    </row>
    <row r="233" spans="1:2" ht="13.95" customHeight="1" x14ac:dyDescent="0.25">
      <c r="A233" s="588" t="s">
        <v>389</v>
      </c>
      <c r="B233" s="719" t="e">
        <f ca="1">VLOOKUP($A233,Data!$C$2:$H$370,6,FALSE)</f>
        <v>#VALUE!</v>
      </c>
    </row>
    <row r="234" spans="1:2" ht="13.95" customHeight="1" x14ac:dyDescent="0.25">
      <c r="A234" s="588" t="s">
        <v>390</v>
      </c>
      <c r="B234" s="719" t="e">
        <f ca="1">VLOOKUP($A234,Data!$C$2:$H$370,6,FALSE)</f>
        <v>#VALUE!</v>
      </c>
    </row>
    <row r="235" spans="1:2" ht="13.95" customHeight="1" x14ac:dyDescent="0.25">
      <c r="A235" s="588" t="s">
        <v>391</v>
      </c>
      <c r="B235" s="719" t="e">
        <f ca="1">VLOOKUP($A235,Data!$C$2:$H$370,6,FALSE)</f>
        <v>#VALUE!</v>
      </c>
    </row>
    <row r="236" spans="1:2" ht="13.95" customHeight="1" x14ac:dyDescent="0.25">
      <c r="A236" s="588" t="s">
        <v>392</v>
      </c>
      <c r="B236" s="719" t="e">
        <f ca="1">VLOOKUP($A236,Data!$C$2:$H$370,6,FALSE)</f>
        <v>#VALUE!</v>
      </c>
    </row>
    <row r="237" spans="1:2" ht="13.95" customHeight="1" x14ac:dyDescent="0.25">
      <c r="A237" s="588" t="s">
        <v>393</v>
      </c>
      <c r="B237" s="719" t="e">
        <f ca="1">VLOOKUP($A237,Data!$C$2:$H$370,6,FALSE)</f>
        <v>#VALUE!</v>
      </c>
    </row>
    <row r="238" spans="1:2" ht="13.95" customHeight="1" x14ac:dyDescent="0.25">
      <c r="A238" s="588" t="s">
        <v>394</v>
      </c>
      <c r="B238" s="719" t="e">
        <f ca="1">VLOOKUP($A238,Data!$C$2:$H$370,6,FALSE)</f>
        <v>#VALUE!</v>
      </c>
    </row>
    <row r="239" spans="1:2" ht="13.95" customHeight="1" x14ac:dyDescent="0.25">
      <c r="A239" s="588" t="s">
        <v>395</v>
      </c>
      <c r="B239" s="719" t="e">
        <f ca="1">VLOOKUP($A239,Data!$C$2:$H$370,6,FALSE)</f>
        <v>#VALUE!</v>
      </c>
    </row>
    <row r="240" spans="1:2" ht="13.95" customHeight="1" x14ac:dyDescent="0.25">
      <c r="A240" s="588" t="s">
        <v>396</v>
      </c>
      <c r="B240" s="719" t="e">
        <f ca="1">VLOOKUP($A240,Data!$C$2:$H$370,6,FALSE)</f>
        <v>#VALUE!</v>
      </c>
    </row>
    <row r="241" spans="1:2" ht="13.95" customHeight="1" x14ac:dyDescent="0.25">
      <c r="A241" s="588" t="s">
        <v>397</v>
      </c>
      <c r="B241" s="719" t="e">
        <f ca="1">VLOOKUP($A241,Data!$C$2:$H$370,6,FALSE)</f>
        <v>#VALUE!</v>
      </c>
    </row>
    <row r="242" spans="1:2" ht="13.95" customHeight="1" x14ac:dyDescent="0.25">
      <c r="A242" s="588" t="s">
        <v>398</v>
      </c>
      <c r="B242" s="719" t="e">
        <f ca="1">VLOOKUP($A242,Data!$C$2:$H$370,6,FALSE)</f>
        <v>#VALUE!</v>
      </c>
    </row>
    <row r="243" spans="1:2" ht="13.95" customHeight="1" x14ac:dyDescent="0.25">
      <c r="A243" s="588" t="s">
        <v>399</v>
      </c>
      <c r="B243" s="719" t="e">
        <f ca="1">VLOOKUP($A243,Data!$C$2:$H$370,6,FALSE)</f>
        <v>#VALUE!</v>
      </c>
    </row>
    <row r="244" spans="1:2" ht="13.95" customHeight="1" x14ac:dyDescent="0.25">
      <c r="A244" s="588" t="s">
        <v>400</v>
      </c>
      <c r="B244" s="719" t="e">
        <f ca="1">VLOOKUP($A244,Data!$C$2:$H$370,6,FALSE)</f>
        <v>#VALUE!</v>
      </c>
    </row>
    <row r="245" spans="1:2" ht="13.95" customHeight="1" x14ac:dyDescent="0.25">
      <c r="A245" s="588" t="s">
        <v>401</v>
      </c>
      <c r="B245" s="719" t="e">
        <f ca="1">VLOOKUP($A245,Data!$C$2:$H$370,6,FALSE)</f>
        <v>#VALUE!</v>
      </c>
    </row>
    <row r="246" spans="1:2" ht="13.95" customHeight="1" x14ac:dyDescent="0.25">
      <c r="A246" s="588" t="s">
        <v>402</v>
      </c>
      <c r="B246" s="719" t="e">
        <f ca="1">VLOOKUP($A246,Data!$C$2:$H$370,6,FALSE)</f>
        <v>#VALUE!</v>
      </c>
    </row>
    <row r="247" spans="1:2" ht="13.95" customHeight="1" x14ac:dyDescent="0.25">
      <c r="A247" s="588" t="s">
        <v>403</v>
      </c>
      <c r="B247" s="719" t="e">
        <f ca="1">VLOOKUP($A247,Data!$C$2:$H$370,6,FALSE)</f>
        <v>#VALUE!</v>
      </c>
    </row>
    <row r="248" spans="1:2" ht="13.95" customHeight="1" x14ac:dyDescent="0.25">
      <c r="A248" s="588" t="s">
        <v>404</v>
      </c>
      <c r="B248" s="719" t="e">
        <f ca="1">VLOOKUP($A248,Data!$C$2:$H$370,6,FALSE)</f>
        <v>#VALUE!</v>
      </c>
    </row>
    <row r="249" spans="1:2" ht="13.95" customHeight="1" x14ac:dyDescent="0.25">
      <c r="A249" s="588" t="s">
        <v>253</v>
      </c>
      <c r="B249" s="719" t="e">
        <f ca="1">VLOOKUP($A249,Data!$C$2:$H$370,6,FALSE)</f>
        <v>#VALUE!</v>
      </c>
    </row>
    <row r="250" spans="1:2" ht="13.95" customHeight="1" x14ac:dyDescent="0.25">
      <c r="A250" s="588" t="s">
        <v>254</v>
      </c>
      <c r="B250" s="719" t="e">
        <f ca="1">VLOOKUP($A250,Data!$C$2:$H$370,6,FALSE)</f>
        <v>#VALUE!</v>
      </c>
    </row>
    <row r="251" spans="1:2" ht="13.95" customHeight="1" x14ac:dyDescent="0.25">
      <c r="A251" s="588" t="s">
        <v>255</v>
      </c>
      <c r="B251" s="719" t="e">
        <f ca="1">VLOOKUP($A251,Data!$C$2:$H$370,6,FALSE)</f>
        <v>#VALUE!</v>
      </c>
    </row>
    <row r="252" spans="1:2" ht="13.95" customHeight="1" x14ac:dyDescent="0.25">
      <c r="A252" s="588" t="s">
        <v>256</v>
      </c>
      <c r="B252" s="719" t="e">
        <f ca="1">VLOOKUP($A252,Data!$C$2:$H$370,6,FALSE)</f>
        <v>#VALUE!</v>
      </c>
    </row>
    <row r="253" spans="1:2" ht="13.95" customHeight="1" x14ac:dyDescent="0.25">
      <c r="A253" s="588" t="s">
        <v>257</v>
      </c>
      <c r="B253" s="719" t="e">
        <f ca="1">VLOOKUP($A253,Data!$C$2:$H$370,6,FALSE)</f>
        <v>#VALUE!</v>
      </c>
    </row>
    <row r="254" spans="1:2" ht="13.95" customHeight="1" x14ac:dyDescent="0.25">
      <c r="A254" s="588" t="s">
        <v>258</v>
      </c>
      <c r="B254" s="719" t="e">
        <f ca="1">VLOOKUP($A254,Data!$C$2:$H$370,6,FALSE)</f>
        <v>#VALUE!</v>
      </c>
    </row>
    <row r="255" spans="1:2" ht="13.95" customHeight="1" x14ac:dyDescent="0.25">
      <c r="A255" s="588" t="s">
        <v>259</v>
      </c>
      <c r="B255" s="719" t="e">
        <f ca="1">VLOOKUP($A255,Data!$C$2:$H$370,6,FALSE)</f>
        <v>#VALUE!</v>
      </c>
    </row>
    <row r="256" spans="1:2" ht="13.95" customHeight="1" x14ac:dyDescent="0.25">
      <c r="A256" s="588" t="s">
        <v>260</v>
      </c>
      <c r="B256" s="719" t="e">
        <f ca="1">VLOOKUP($A256,Data!$C$2:$H$370,6,FALSE)</f>
        <v>#VALUE!</v>
      </c>
    </row>
    <row r="257" spans="1:2" ht="13.95" customHeight="1" x14ac:dyDescent="0.25">
      <c r="A257" s="588" t="s">
        <v>261</v>
      </c>
      <c r="B257" s="719" t="e">
        <f ca="1">VLOOKUP($A257,Data!$C$2:$H$370,6,FALSE)</f>
        <v>#VALUE!</v>
      </c>
    </row>
    <row r="258" spans="1:2" ht="13.95" customHeight="1" x14ac:dyDescent="0.25">
      <c r="A258" s="588" t="s">
        <v>262</v>
      </c>
      <c r="B258" s="719" t="e">
        <f ca="1">VLOOKUP($A258,Data!$C$2:$H$370,6,FALSE)</f>
        <v>#VALUE!</v>
      </c>
    </row>
    <row r="259" spans="1:2" ht="13.95" customHeight="1" x14ac:dyDescent="0.25">
      <c r="A259" s="588" t="s">
        <v>263</v>
      </c>
      <c r="B259" s="719" t="e">
        <f ca="1">VLOOKUP($A259,Data!$C$2:$H$370,6,FALSE)</f>
        <v>#VALUE!</v>
      </c>
    </row>
    <row r="260" spans="1:2" ht="13.95" customHeight="1" x14ac:dyDescent="0.25">
      <c r="A260" s="588" t="s">
        <v>264</v>
      </c>
      <c r="B260" s="719" t="e">
        <f ca="1">VLOOKUP($A260,Data!$C$2:$H$370,6,FALSE)</f>
        <v>#VALUE!</v>
      </c>
    </row>
    <row r="261" spans="1:2" ht="13.95" customHeight="1" x14ac:dyDescent="0.25">
      <c r="A261" s="588" t="s">
        <v>265</v>
      </c>
      <c r="B261" s="719" t="e">
        <f ca="1">VLOOKUP($A261,Data!$C$2:$H$370,6,FALSE)</f>
        <v>#VALUE!</v>
      </c>
    </row>
    <row r="262" spans="1:2" ht="13.95" customHeight="1" x14ac:dyDescent="0.25">
      <c r="A262" s="588" t="s">
        <v>266</v>
      </c>
      <c r="B262" s="719" t="e">
        <f ca="1">VLOOKUP($A262,Data!$C$2:$H$370,6,FALSE)</f>
        <v>#VALUE!</v>
      </c>
    </row>
    <row r="263" spans="1:2" ht="13.95" customHeight="1" x14ac:dyDescent="0.25">
      <c r="A263" s="588" t="s">
        <v>267</v>
      </c>
      <c r="B263" s="719" t="e">
        <f ca="1">VLOOKUP($A263,Data!$C$2:$H$370,6,FALSE)</f>
        <v>#VALUE!</v>
      </c>
    </row>
    <row r="264" spans="1:2" ht="13.95" customHeight="1" x14ac:dyDescent="0.25">
      <c r="A264" s="588" t="s">
        <v>268</v>
      </c>
      <c r="B264" s="719" t="e">
        <f ca="1">VLOOKUP($A264,Data!$C$2:$H$370,6,FALSE)</f>
        <v>#VALUE!</v>
      </c>
    </row>
    <row r="265" spans="1:2" ht="13.95" customHeight="1" x14ac:dyDescent="0.25">
      <c r="A265" s="588" t="s">
        <v>269</v>
      </c>
      <c r="B265" s="719" t="e">
        <f ca="1">VLOOKUP($A265,Data!$C$2:$H$370,6,FALSE)</f>
        <v>#VALUE!</v>
      </c>
    </row>
    <row r="266" spans="1:2" ht="13.95" customHeight="1" x14ac:dyDescent="0.25">
      <c r="A266" s="588" t="s">
        <v>270</v>
      </c>
      <c r="B266" s="719" t="e">
        <f ca="1">VLOOKUP($A266,Data!$C$2:$H$370,6,FALSE)</f>
        <v>#VALUE!</v>
      </c>
    </row>
    <row r="267" spans="1:2" ht="13.95" customHeight="1" x14ac:dyDescent="0.25">
      <c r="A267" s="588" t="s">
        <v>271</v>
      </c>
      <c r="B267" s="719" t="e">
        <f ca="1">VLOOKUP($A267,Data!$C$2:$H$370,6,FALSE)</f>
        <v>#VALUE!</v>
      </c>
    </row>
    <row r="268" spans="1:2" ht="13.95" customHeight="1" x14ac:dyDescent="0.25">
      <c r="A268" s="588" t="s">
        <v>272</v>
      </c>
      <c r="B268" s="719" t="e">
        <f ca="1">VLOOKUP($A268,Data!$C$2:$H$370,6,FALSE)</f>
        <v>#VALUE!</v>
      </c>
    </row>
    <row r="269" spans="1:2" ht="13.95" customHeight="1" x14ac:dyDescent="0.25">
      <c r="A269" s="588" t="s">
        <v>273</v>
      </c>
      <c r="B269" s="719" t="e">
        <f ca="1">VLOOKUP($A269,Data!$C$2:$H$370,6,FALSE)</f>
        <v>#VALUE!</v>
      </c>
    </row>
    <row r="270" spans="1:2" ht="13.95" customHeight="1" x14ac:dyDescent="0.25">
      <c r="A270" s="588" t="s">
        <v>274</v>
      </c>
      <c r="B270" s="719" t="e">
        <f ca="1">VLOOKUP($A270,Data!$C$2:$H$370,6,FALSE)</f>
        <v>#VALUE!</v>
      </c>
    </row>
    <row r="271" spans="1:2" ht="13.95" customHeight="1" x14ac:dyDescent="0.25">
      <c r="A271" s="588" t="s">
        <v>275</v>
      </c>
      <c r="B271" s="719" t="e">
        <f ca="1">VLOOKUP($A271,Data!$C$2:$H$370,6,FALSE)</f>
        <v>#VALUE!</v>
      </c>
    </row>
    <row r="272" spans="1:2" ht="13.95" customHeight="1" x14ac:dyDescent="0.25">
      <c r="A272" s="588" t="s">
        <v>276</v>
      </c>
      <c r="B272" s="719" t="e">
        <f ca="1">VLOOKUP($A272,Data!$C$2:$H$370,6,FALSE)</f>
        <v>#VALUE!</v>
      </c>
    </row>
    <row r="273" spans="1:2" ht="13.95" customHeight="1" x14ac:dyDescent="0.25">
      <c r="A273" s="588" t="s">
        <v>278</v>
      </c>
      <c r="B273" s="719" t="e">
        <f ca="1">VLOOKUP($A273,Data!$C$2:$H$370,6,FALSE)</f>
        <v>#VALUE!</v>
      </c>
    </row>
    <row r="274" spans="1:2" ht="13.95" customHeight="1" x14ac:dyDescent="0.25">
      <c r="A274" s="588" t="s">
        <v>1060</v>
      </c>
      <c r="B274" s="719" t="e">
        <f ca="1">VLOOKUP($A274,Data!$C$2:$H$370,6,FALSE)</f>
        <v>#VALUE!</v>
      </c>
    </row>
    <row r="275" spans="1:2" ht="13.95" customHeight="1" x14ac:dyDescent="0.25">
      <c r="A275" s="588" t="s">
        <v>280</v>
      </c>
      <c r="B275" s="719" t="e">
        <f ca="1">VLOOKUP($A275,Data!$C$2:$H$370,6,FALSE)</f>
        <v>#VALUE!</v>
      </c>
    </row>
    <row r="276" spans="1:2" ht="13.95" customHeight="1" x14ac:dyDescent="0.25">
      <c r="A276" s="588" t="s">
        <v>281</v>
      </c>
      <c r="B276" s="719" t="e">
        <f ca="1">VLOOKUP($A276,Data!$C$2:$H$370,6,FALSE)</f>
        <v>#VALUE!</v>
      </c>
    </row>
    <row r="277" spans="1:2" ht="13.95" customHeight="1" x14ac:dyDescent="0.25">
      <c r="A277" s="588" t="s">
        <v>282</v>
      </c>
      <c r="B277" s="719" t="e">
        <f ca="1">VLOOKUP($A277,Data!$C$2:$H$370,6,FALSE)</f>
        <v>#VALUE!</v>
      </c>
    </row>
    <row r="278" spans="1:2" ht="13.95" customHeight="1" x14ac:dyDescent="0.25">
      <c r="A278" s="588" t="s">
        <v>283</v>
      </c>
      <c r="B278" s="719" t="e">
        <f ca="1">VLOOKUP($A278,Data!$C$2:$H$370,6,FALSE)</f>
        <v>#VALUE!</v>
      </c>
    </row>
    <row r="279" spans="1:2" ht="13.95" customHeight="1" x14ac:dyDescent="0.25">
      <c r="A279" s="588" t="s">
        <v>284</v>
      </c>
      <c r="B279" s="719" t="e">
        <f ca="1">VLOOKUP($A279,Data!$C$2:$H$370,6,FALSE)</f>
        <v>#VALUE!</v>
      </c>
    </row>
    <row r="280" spans="1:2" ht="13.95" customHeight="1" x14ac:dyDescent="0.25">
      <c r="A280" s="588" t="s">
        <v>285</v>
      </c>
      <c r="B280" s="719" t="e">
        <f ca="1">VLOOKUP($A280,Data!$C$2:$H$370,6,FALSE)</f>
        <v>#VALUE!</v>
      </c>
    </row>
    <row r="281" spans="1:2" ht="13.95" customHeight="1" x14ac:dyDescent="0.25">
      <c r="A281" s="588" t="s">
        <v>286</v>
      </c>
      <c r="B281" s="719" t="e">
        <f ca="1">VLOOKUP($A281,Data!$C$2:$H$370,6,FALSE)</f>
        <v>#VALUE!</v>
      </c>
    </row>
    <row r="282" spans="1:2" ht="13.95" customHeight="1" x14ac:dyDescent="0.25">
      <c r="A282" s="588" t="s">
        <v>1061</v>
      </c>
      <c r="B282" s="719" t="e">
        <f ca="1">VLOOKUP($A282,Data!$C$2:$H$370,6,FALSE)</f>
        <v>#VALUE!</v>
      </c>
    </row>
    <row r="283" spans="1:2" ht="13.95" customHeight="1" x14ac:dyDescent="0.25">
      <c r="A283" s="588" t="s">
        <v>1062</v>
      </c>
      <c r="B283" s="719" t="e">
        <f ca="1">VLOOKUP($A283,Data!$C$2:$H$370,6,FALSE)</f>
        <v>#VALUE!</v>
      </c>
    </row>
    <row r="284" spans="1:2" ht="13.95" customHeight="1" x14ac:dyDescent="0.25">
      <c r="A284" s="588" t="s">
        <v>1063</v>
      </c>
      <c r="B284" s="719" t="e">
        <f ca="1">VLOOKUP($A284,Data!$C$2:$H$370,6,FALSE)</f>
        <v>#VALUE!</v>
      </c>
    </row>
    <row r="285" spans="1:2" ht="13.95" customHeight="1" x14ac:dyDescent="0.25">
      <c r="A285" s="588" t="s">
        <v>1064</v>
      </c>
      <c r="B285" s="719" t="e">
        <f ca="1">VLOOKUP($A285,Data!$C$2:$H$370,6,FALSE)</f>
        <v>#VALUE!</v>
      </c>
    </row>
    <row r="286" spans="1:2" ht="13.95" customHeight="1" x14ac:dyDescent="0.25">
      <c r="A286" s="588" t="s">
        <v>1065</v>
      </c>
      <c r="B286" s="719" t="e">
        <f ca="1">VLOOKUP($A286,Data!$C$2:$H$370,6,FALSE)</f>
        <v>#VALUE!</v>
      </c>
    </row>
    <row r="287" spans="1:2" ht="13.95" customHeight="1" x14ac:dyDescent="0.25">
      <c r="A287" s="588" t="s">
        <v>1066</v>
      </c>
      <c r="B287" s="719" t="e">
        <f ca="1">VLOOKUP($A287,Data!$C$2:$H$370,6,FALSE)</f>
        <v>#VALUE!</v>
      </c>
    </row>
    <row r="288" spans="1:2" ht="13.95" customHeight="1" x14ac:dyDescent="0.25">
      <c r="A288" s="588" t="s">
        <v>1067</v>
      </c>
      <c r="B288" s="719" t="e">
        <f ca="1">VLOOKUP($A288,Data!$C$2:$H$370,6,FALSE)</f>
        <v>#VALUE!</v>
      </c>
    </row>
    <row r="289" spans="1:2" ht="13.95" customHeight="1" x14ac:dyDescent="0.25">
      <c r="A289" s="588" t="s">
        <v>1068</v>
      </c>
      <c r="B289" s="719" t="e">
        <f ca="1">VLOOKUP($A289,Data!$C$2:$H$370,6,FALSE)</f>
        <v>#VALUE!</v>
      </c>
    </row>
    <row r="290" spans="1:2" ht="13.95" customHeight="1" x14ac:dyDescent="0.25">
      <c r="A290" s="588" t="s">
        <v>1069</v>
      </c>
      <c r="B290" s="719" t="e">
        <f ca="1">VLOOKUP($A290,Data!$C$2:$H$370,6,FALSE)</f>
        <v>#VALUE!</v>
      </c>
    </row>
    <row r="291" spans="1:2" ht="13.95" customHeight="1" x14ac:dyDescent="0.25">
      <c r="A291" s="588" t="s">
        <v>1070</v>
      </c>
      <c r="B291" s="719" t="e">
        <f ca="1">VLOOKUP($A291,Data!$C$2:$H$370,6,FALSE)</f>
        <v>#VALUE!</v>
      </c>
    </row>
    <row r="292" spans="1:2" ht="13.95" customHeight="1" x14ac:dyDescent="0.25">
      <c r="A292" s="588" t="s">
        <v>1071</v>
      </c>
      <c r="B292" s="719" t="e">
        <f ca="1">VLOOKUP($A292,Data!$C$2:$H$370,6,FALSE)</f>
        <v>#VALUE!</v>
      </c>
    </row>
    <row r="293" spans="1:2" ht="13.95" customHeight="1" x14ac:dyDescent="0.25">
      <c r="A293" s="588" t="s">
        <v>1072</v>
      </c>
      <c r="B293" s="719" t="e">
        <f ca="1">VLOOKUP($A293,Data!$C$2:$H$370,6,FALSE)</f>
        <v>#VALUE!</v>
      </c>
    </row>
    <row r="294" spans="1:2" ht="13.95" customHeight="1" x14ac:dyDescent="0.25">
      <c r="A294" s="588" t="s">
        <v>1073</v>
      </c>
      <c r="B294" s="719" t="e">
        <f ca="1">VLOOKUP($A294,Data!$C$2:$H$370,6,FALSE)</f>
        <v>#VALUE!</v>
      </c>
    </row>
    <row r="295" spans="1:2" ht="13.95" customHeight="1" x14ac:dyDescent="0.25">
      <c r="A295" s="588" t="s">
        <v>1074</v>
      </c>
      <c r="B295" s="719" t="e">
        <f ca="1">VLOOKUP($A295,Data!$C$2:$H$370,6,FALSE)</f>
        <v>#VALUE!</v>
      </c>
    </row>
    <row r="296" spans="1:2" ht="13.95" customHeight="1" x14ac:dyDescent="0.25">
      <c r="A296" s="588" t="s">
        <v>1075</v>
      </c>
      <c r="B296" s="719" t="e">
        <f ca="1">VLOOKUP($A296,Data!$C$2:$H$370,6,FALSE)</f>
        <v>#VALUE!</v>
      </c>
    </row>
    <row r="297" spans="1:2" ht="13.95" customHeight="1" x14ac:dyDescent="0.25">
      <c r="A297" s="588" t="s">
        <v>1076</v>
      </c>
      <c r="B297" s="719" t="e">
        <f ca="1">VLOOKUP($A297,Data!$C$2:$H$370,6,FALSE)</f>
        <v>#VALUE!</v>
      </c>
    </row>
    <row r="298" spans="1:2" ht="13.95" customHeight="1" x14ac:dyDescent="0.25">
      <c r="A298" s="588" t="s">
        <v>41</v>
      </c>
      <c r="B298" s="719" t="e">
        <f ca="1">VLOOKUP($A298,Data!$C$2:$H$370,6,FALSE)</f>
        <v>#VALUE!</v>
      </c>
    </row>
    <row r="299" spans="1:2" ht="13.95" customHeight="1" x14ac:dyDescent="0.25">
      <c r="A299" s="588" t="s">
        <v>42</v>
      </c>
      <c r="B299" s="719" t="e">
        <f ca="1">VLOOKUP($A299,Data!$C$2:$H$370,6,FALSE)</f>
        <v>#VALUE!</v>
      </c>
    </row>
    <row r="300" spans="1:2" ht="13.95" customHeight="1" x14ac:dyDescent="0.25">
      <c r="A300" s="588" t="s">
        <v>43</v>
      </c>
      <c r="B300" s="719" t="e">
        <f ca="1">VLOOKUP($A300,Data!$C$2:$H$370,6,FALSE)</f>
        <v>#VALUE!</v>
      </c>
    </row>
    <row r="301" spans="1:2" ht="13.95" customHeight="1" x14ac:dyDescent="0.25">
      <c r="A301" s="588" t="s">
        <v>45</v>
      </c>
      <c r="B301" s="719" t="e">
        <f ca="1">VLOOKUP($A301,Data!$C$2:$H$370,6,FALSE)</f>
        <v>#VALUE!</v>
      </c>
    </row>
    <row r="302" spans="1:2" ht="13.95" customHeight="1" x14ac:dyDescent="0.25">
      <c r="A302" s="588" t="s">
        <v>47</v>
      </c>
      <c r="B302" s="719" t="e">
        <f ca="1">VLOOKUP($A302,Data!$C$2:$H$370,6,FALSE)</f>
        <v>#VALUE!</v>
      </c>
    </row>
    <row r="303" spans="1:2" ht="13.95" customHeight="1" x14ac:dyDescent="0.25">
      <c r="A303" s="588" t="s">
        <v>49</v>
      </c>
      <c r="B303" s="719" t="e">
        <f ca="1">VLOOKUP($A303,Data!$C$2:$H$370,6,FALSE)</f>
        <v>#VALUE!</v>
      </c>
    </row>
    <row r="304" spans="1:2" ht="13.95" customHeight="1" x14ac:dyDescent="0.25">
      <c r="A304" s="588" t="s">
        <v>60</v>
      </c>
      <c r="B304" s="719" t="e">
        <f ca="1">VLOOKUP($A304,Data!$C$2:$H$370,6,FALSE)</f>
        <v>#VALUE!</v>
      </c>
    </row>
    <row r="305" spans="1:2" ht="13.95" customHeight="1" x14ac:dyDescent="0.25">
      <c r="A305" s="588" t="s">
        <v>62</v>
      </c>
      <c r="B305" s="719" t="e">
        <f ca="1">VLOOKUP($A305,Data!$C$2:$H$370,6,FALSE)</f>
        <v>#VALUE!</v>
      </c>
    </row>
    <row r="306" spans="1:2" ht="13.95" customHeight="1" x14ac:dyDescent="0.25">
      <c r="A306" s="588" t="s">
        <v>64</v>
      </c>
      <c r="B306" s="719" t="e">
        <f ca="1">VLOOKUP($A306,Data!$C$2:$H$370,6,FALSE)</f>
        <v>#VALUE!</v>
      </c>
    </row>
    <row r="307" spans="1:2" ht="13.95" customHeight="1" x14ac:dyDescent="0.25">
      <c r="A307" s="588" t="s">
        <v>67</v>
      </c>
      <c r="B307" s="719" t="e">
        <f ca="1">VLOOKUP($A307,Data!$C$2:$H$370,6,FALSE)</f>
        <v>#VALUE!</v>
      </c>
    </row>
    <row r="308" spans="1:2" ht="13.95" customHeight="1" x14ac:dyDescent="0.25">
      <c r="A308" s="588" t="s">
        <v>70</v>
      </c>
      <c r="B308" s="719" t="e">
        <f ca="1">VLOOKUP($A308,Data!$C$2:$H$370,6,FALSE)</f>
        <v>#VALUE!</v>
      </c>
    </row>
    <row r="309" spans="1:2" ht="13.95" customHeight="1" x14ac:dyDescent="0.25">
      <c r="A309" s="588" t="s">
        <v>1031</v>
      </c>
      <c r="B309" s="719" t="e">
        <f ca="1">VLOOKUP($A309,Data!$C$2:$H$370,6,FALSE)</f>
        <v>#VALUE!</v>
      </c>
    </row>
    <row r="310" spans="1:2" ht="13.95" customHeight="1" x14ac:dyDescent="0.25">
      <c r="A310" s="588" t="s">
        <v>1032</v>
      </c>
      <c r="B310" s="719" t="e">
        <f ca="1">VLOOKUP($A310,Data!$C$2:$H$370,6,FALSE)</f>
        <v>#VALUE!</v>
      </c>
    </row>
    <row r="311" spans="1:2" ht="13.95" customHeight="1" x14ac:dyDescent="0.25">
      <c r="A311" s="588" t="s">
        <v>1033</v>
      </c>
      <c r="B311" s="719" t="e">
        <f ca="1">VLOOKUP($A311,Data!$C$2:$H$370,6,FALSE)</f>
        <v>#VALUE!</v>
      </c>
    </row>
    <row r="312" spans="1:2" ht="13.95" customHeight="1" x14ac:dyDescent="0.25">
      <c r="A312" s="588" t="s">
        <v>1034</v>
      </c>
      <c r="B312" s="719" t="e">
        <f ca="1">VLOOKUP($A312,Data!$C$2:$H$370,6,FALSE)</f>
        <v>#VALUE!</v>
      </c>
    </row>
    <row r="313" spans="1:2" ht="13.95" customHeight="1" x14ac:dyDescent="0.25">
      <c r="A313" s="588" t="s">
        <v>1035</v>
      </c>
      <c r="B313" s="719" t="e">
        <f ca="1">VLOOKUP($A313,Data!$C$2:$H$370,6,FALSE)</f>
        <v>#VALUE!</v>
      </c>
    </row>
    <row r="314" spans="1:2" ht="13.95" customHeight="1" x14ac:dyDescent="0.25">
      <c r="A314" s="588" t="s">
        <v>1036</v>
      </c>
      <c r="B314" s="719" t="e">
        <f ca="1">VLOOKUP($A314,Data!$C$2:$H$370,6,FALSE)</f>
        <v>#VALUE!</v>
      </c>
    </row>
    <row r="315" spans="1:2" ht="13.95" customHeight="1" x14ac:dyDescent="0.25">
      <c r="A315" s="588" t="s">
        <v>1037</v>
      </c>
      <c r="B315" s="719" t="e">
        <f ca="1">VLOOKUP($A315,Data!$C$2:$H$370,6,FALSE)</f>
        <v>#VALUE!</v>
      </c>
    </row>
    <row r="316" spans="1:2" ht="13.95" customHeight="1" x14ac:dyDescent="0.25">
      <c r="A316" s="588" t="s">
        <v>1038</v>
      </c>
      <c r="B316" s="719" t="e">
        <f ca="1">VLOOKUP($A316,Data!$C$2:$H$370,6,FALSE)</f>
        <v>#VALUE!</v>
      </c>
    </row>
    <row r="317" spans="1:2" ht="13.95" customHeight="1" x14ac:dyDescent="0.25">
      <c r="A317" s="588" t="s">
        <v>72</v>
      </c>
      <c r="B317" s="719" t="e">
        <f ca="1">VLOOKUP($A317,Data!$C$2:$H$370,6,FALSE)</f>
        <v>#VALUE!</v>
      </c>
    </row>
    <row r="318" spans="1:2" ht="13.95" customHeight="1" x14ac:dyDescent="0.25">
      <c r="A318" s="588" t="s">
        <v>75</v>
      </c>
      <c r="B318" s="719" t="e">
        <f ca="1">VLOOKUP($A318,Data!$C$2:$H$370,6,FALSE)</f>
        <v>#VALUE!</v>
      </c>
    </row>
    <row r="319" spans="1:2" ht="13.95" customHeight="1" x14ac:dyDescent="0.25">
      <c r="A319" s="588" t="s">
        <v>78</v>
      </c>
      <c r="B319" s="719" t="e">
        <f ca="1">VLOOKUP($A319,Data!$C$2:$H$370,6,FALSE)</f>
        <v>#VALUE!</v>
      </c>
    </row>
    <row r="320" spans="1:2" ht="13.95" customHeight="1" x14ac:dyDescent="0.25">
      <c r="A320" s="588" t="s">
        <v>81</v>
      </c>
      <c r="B320" s="719" t="e">
        <f ca="1">VLOOKUP($A320,Data!$C$2:$H$370,6,FALSE)</f>
        <v>#VALUE!</v>
      </c>
    </row>
    <row r="321" spans="1:2" ht="13.95" customHeight="1" x14ac:dyDescent="0.25">
      <c r="A321" s="588" t="s">
        <v>83</v>
      </c>
      <c r="B321" s="719" t="e">
        <f ca="1">VLOOKUP($A321,Data!$C$2:$H$370,6,FALSE)</f>
        <v>#VALUE!</v>
      </c>
    </row>
    <row r="322" spans="1:2" ht="13.95" customHeight="1" x14ac:dyDescent="0.25">
      <c r="A322" s="588" t="s">
        <v>85</v>
      </c>
      <c r="B322" s="719" t="e">
        <f ca="1">VLOOKUP($A322,Data!$C$2:$H$370,6,FALSE)</f>
        <v>#VALUE!</v>
      </c>
    </row>
    <row r="323" spans="1:2" ht="13.95" customHeight="1" x14ac:dyDescent="0.25">
      <c r="A323" s="588" t="s">
        <v>87</v>
      </c>
      <c r="B323" s="719" t="e">
        <f ca="1">VLOOKUP($A323,Data!$C$2:$H$370,6,FALSE)</f>
        <v>#VALUE!</v>
      </c>
    </row>
    <row r="324" spans="1:2" ht="13.95" customHeight="1" x14ac:dyDescent="0.25">
      <c r="A324" s="588" t="s">
        <v>1039</v>
      </c>
      <c r="B324" s="719" t="e">
        <f ca="1">VLOOKUP($A324,Data!$C$2:$H$370,6,FALSE)</f>
        <v>#VALUE!</v>
      </c>
    </row>
    <row r="325" spans="1:2" ht="13.95" customHeight="1" x14ac:dyDescent="0.25">
      <c r="A325" s="588" t="s">
        <v>1040</v>
      </c>
      <c r="B325" s="719" t="e">
        <f ca="1">VLOOKUP($A325,Data!$C$2:$H$370,6,FALSE)</f>
        <v>#VALUE!</v>
      </c>
    </row>
    <row r="326" spans="1:2" ht="13.95" customHeight="1" x14ac:dyDescent="0.25">
      <c r="A326" s="588" t="s">
        <v>1041</v>
      </c>
      <c r="B326" s="719" t="e">
        <f ca="1">VLOOKUP($A326,Data!$C$2:$H$370,6,FALSE)</f>
        <v>#VALUE!</v>
      </c>
    </row>
    <row r="327" spans="1:2" ht="13.95" customHeight="1" x14ac:dyDescent="0.25">
      <c r="A327" s="588" t="s">
        <v>1042</v>
      </c>
      <c r="B327" s="719" t="e">
        <f ca="1">VLOOKUP($A327,Data!$C$2:$H$370,6,FALSE)</f>
        <v>#VALUE!</v>
      </c>
    </row>
    <row r="328" spans="1:2" ht="13.95" customHeight="1" x14ac:dyDescent="0.25">
      <c r="A328" s="588" t="s">
        <v>1043</v>
      </c>
      <c r="B328" s="719" t="e">
        <f ca="1">VLOOKUP($A328,Data!$C$2:$H$370,6,FALSE)</f>
        <v>#VALUE!</v>
      </c>
    </row>
    <row r="329" spans="1:2" ht="13.95" customHeight="1" x14ac:dyDescent="0.25">
      <c r="A329" s="588" t="s">
        <v>1044</v>
      </c>
      <c r="B329" s="719" t="e">
        <f ca="1">VLOOKUP($A329,Data!$C$2:$H$370,6,FALSE)</f>
        <v>#VALUE!</v>
      </c>
    </row>
    <row r="330" spans="1:2" ht="13.95" customHeight="1" x14ac:dyDescent="0.25">
      <c r="A330" s="588" t="s">
        <v>1045</v>
      </c>
      <c r="B330" s="719" t="e">
        <f ca="1">VLOOKUP($A330,Data!$C$2:$H$370,6,FALSE)</f>
        <v>#VALUE!</v>
      </c>
    </row>
    <row r="331" spans="1:2" ht="13.95" customHeight="1" x14ac:dyDescent="0.25">
      <c r="A331" s="588" t="s">
        <v>1046</v>
      </c>
      <c r="B331" s="719" t="e">
        <f ca="1">VLOOKUP($A331,Data!$C$2:$H$370,6,FALSE)</f>
        <v>#VALUE!</v>
      </c>
    </row>
    <row r="332" spans="1:2" ht="13.95" customHeight="1" x14ac:dyDescent="0.25">
      <c r="A332" s="588" t="s">
        <v>1047</v>
      </c>
      <c r="B332" s="719" t="e">
        <f ca="1">VLOOKUP($A332,Data!$C$2:$H$370,6,FALSE)</f>
        <v>#VALUE!</v>
      </c>
    </row>
    <row r="333" spans="1:2" ht="13.95" customHeight="1" x14ac:dyDescent="0.25">
      <c r="A333" s="588" t="s">
        <v>1048</v>
      </c>
      <c r="B333" s="719" t="e">
        <f ca="1">VLOOKUP($A333,Data!$C$2:$H$370,6,FALSE)</f>
        <v>#VALUE!</v>
      </c>
    </row>
    <row r="334" spans="1:2" ht="13.95" customHeight="1" x14ac:dyDescent="0.25">
      <c r="A334" s="588" t="s">
        <v>1049</v>
      </c>
      <c r="B334" s="719" t="e">
        <f ca="1">VLOOKUP($A334,Data!$C$2:$H$370,6,FALSE)</f>
        <v>#VALUE!</v>
      </c>
    </row>
    <row r="335" spans="1:2" ht="13.95" customHeight="1" x14ac:dyDescent="0.25">
      <c r="A335" s="588" t="s">
        <v>222</v>
      </c>
      <c r="B335" s="719" t="e">
        <f ca="1">VLOOKUP($A335,Data!$C$2:$H$370,6,FALSE)</f>
        <v>#VALUE!</v>
      </c>
    </row>
    <row r="336" spans="1:2" ht="13.95" customHeight="1" x14ac:dyDescent="0.25">
      <c r="A336" s="588" t="s">
        <v>223</v>
      </c>
      <c r="B336" s="719" t="e">
        <f ca="1">VLOOKUP($A336,Data!$C$2:$H$370,6,FALSE)</f>
        <v>#VALUE!</v>
      </c>
    </row>
    <row r="337" spans="1:2" ht="13.95" customHeight="1" x14ac:dyDescent="0.25">
      <c r="A337" s="588" t="s">
        <v>224</v>
      </c>
      <c r="B337" s="719" t="e">
        <f ca="1">VLOOKUP($A337,Data!$C$2:$H$370,6,FALSE)</f>
        <v>#VALUE!</v>
      </c>
    </row>
    <row r="338" spans="1:2" ht="13.95" customHeight="1" x14ac:dyDescent="0.25">
      <c r="A338" s="588" t="s">
        <v>225</v>
      </c>
      <c r="B338" s="719" t="e">
        <f ca="1">VLOOKUP($A338,Data!$C$2:$H$370,6,FALSE)</f>
        <v>#VALUE!</v>
      </c>
    </row>
    <row r="339" spans="1:2" ht="13.95" customHeight="1" x14ac:dyDescent="0.25">
      <c r="A339" s="588" t="s">
        <v>1059</v>
      </c>
      <c r="B339" s="719" t="e">
        <f ca="1">VLOOKUP($A339,Data!$C$2:$H$370,6,FALSE)</f>
        <v>#VALUE!</v>
      </c>
    </row>
    <row r="340" spans="1:2" ht="13.95" customHeight="1" x14ac:dyDescent="0.25">
      <c r="A340" s="588" t="s">
        <v>226</v>
      </c>
      <c r="B340" s="719" t="e">
        <f ca="1">VLOOKUP($A340,Data!$C$2:$H$370,6,FALSE)</f>
        <v>#VALUE!</v>
      </c>
    </row>
    <row r="341" spans="1:2" ht="13.95" customHeight="1" x14ac:dyDescent="0.25">
      <c r="A341" s="588" t="s">
        <v>227</v>
      </c>
      <c r="B341" s="719" t="e">
        <f ca="1">VLOOKUP($A341,Data!$C$2:$H$370,6,FALSE)</f>
        <v>#VALUE!</v>
      </c>
    </row>
    <row r="342" spans="1:2" ht="13.95" customHeight="1" x14ac:dyDescent="0.25">
      <c r="A342" s="588" t="s">
        <v>228</v>
      </c>
      <c r="B342" s="719" t="e">
        <f ca="1">VLOOKUP($A342,Data!$C$2:$H$370,6,FALSE)</f>
        <v>#VALUE!</v>
      </c>
    </row>
    <row r="343" spans="1:2" ht="13.95" customHeight="1" x14ac:dyDescent="0.25">
      <c r="A343" s="588" t="s">
        <v>229</v>
      </c>
      <c r="B343" s="719" t="e">
        <f ca="1">VLOOKUP($A343,Data!$C$2:$H$370,6,FALSE)</f>
        <v>#VALUE!</v>
      </c>
    </row>
    <row r="344" spans="1:2" ht="13.95" customHeight="1" x14ac:dyDescent="0.25">
      <c r="A344" s="588" t="s">
        <v>230</v>
      </c>
      <c r="B344" s="719" t="e">
        <f ca="1">VLOOKUP($A344,Data!$C$2:$H$370,6,FALSE)</f>
        <v>#VALUE!</v>
      </c>
    </row>
    <row r="345" spans="1:2" ht="13.95" customHeight="1" x14ac:dyDescent="0.25">
      <c r="A345" s="588" t="s">
        <v>231</v>
      </c>
      <c r="B345" s="719" t="e">
        <f ca="1">VLOOKUP($A345,Data!$C$2:$H$370,6,FALSE)</f>
        <v>#VALUE!</v>
      </c>
    </row>
    <row r="346" spans="1:2" ht="13.95" customHeight="1" x14ac:dyDescent="0.25">
      <c r="A346" s="588" t="s">
        <v>232</v>
      </c>
      <c r="B346" s="719" t="e">
        <f ca="1">VLOOKUP($A346,Data!$C$2:$H$370,6,FALSE)</f>
        <v>#VALUE!</v>
      </c>
    </row>
    <row r="347" spans="1:2" ht="13.95" customHeight="1" x14ac:dyDescent="0.25">
      <c r="A347" s="588" t="s">
        <v>233</v>
      </c>
      <c r="B347" s="719" t="e">
        <f ca="1">VLOOKUP($A347,Data!$C$2:$H$370,6,FALSE)</f>
        <v>#VALUE!</v>
      </c>
    </row>
    <row r="348" spans="1:2" ht="13.95" customHeight="1" x14ac:dyDescent="0.25">
      <c r="A348" s="588" t="s">
        <v>234</v>
      </c>
      <c r="B348" s="719" t="e">
        <f ca="1">VLOOKUP($A348,Data!$C$2:$H$370,6,FALSE)</f>
        <v>#VALUE!</v>
      </c>
    </row>
    <row r="349" spans="1:2" ht="13.95" customHeight="1" x14ac:dyDescent="0.25">
      <c r="A349" s="588" t="s">
        <v>235</v>
      </c>
      <c r="B349" s="719" t="e">
        <f ca="1">VLOOKUP($A349,Data!$C$2:$H$370,6,FALSE)</f>
        <v>#VALUE!</v>
      </c>
    </row>
    <row r="350" spans="1:2" ht="13.95" customHeight="1" x14ac:dyDescent="0.25">
      <c r="A350" s="588" t="s">
        <v>236</v>
      </c>
      <c r="B350" s="719" t="e">
        <f ca="1">VLOOKUP($A350,Data!$C$2:$H$370,6,FALSE)</f>
        <v>#VALUE!</v>
      </c>
    </row>
    <row r="351" spans="1:2" ht="13.95" customHeight="1" x14ac:dyDescent="0.25">
      <c r="A351" s="588" t="s">
        <v>237</v>
      </c>
      <c r="B351" s="719" t="e">
        <f ca="1">VLOOKUP($A351,Data!$C$2:$H$370,6,FALSE)</f>
        <v>#VALUE!</v>
      </c>
    </row>
    <row r="352" spans="1:2" ht="13.95" customHeight="1" x14ac:dyDescent="0.25">
      <c r="A352" s="588" t="s">
        <v>238</v>
      </c>
      <c r="B352" s="719" t="e">
        <f ca="1">VLOOKUP($A352,Data!$C$2:$H$370,6,FALSE)</f>
        <v>#VALUE!</v>
      </c>
    </row>
    <row r="353" spans="1:2" ht="13.95" customHeight="1" x14ac:dyDescent="0.25">
      <c r="A353" s="588" t="s">
        <v>239</v>
      </c>
      <c r="B353" s="719" t="e">
        <f ca="1">VLOOKUP($A353,Data!$C$2:$H$370,6,FALSE)</f>
        <v>#VALUE!</v>
      </c>
    </row>
    <row r="354" spans="1:2" ht="13.95" customHeight="1" x14ac:dyDescent="0.25">
      <c r="A354" s="588" t="s">
        <v>240</v>
      </c>
      <c r="B354" s="719" t="e">
        <f ca="1">VLOOKUP($A354,Data!$C$2:$H$370,6,FALSE)</f>
        <v>#VALUE!</v>
      </c>
    </row>
    <row r="355" spans="1:2" ht="13.95" customHeight="1" x14ac:dyDescent="0.25">
      <c r="A355" s="588" t="s">
        <v>241</v>
      </c>
      <c r="B355" s="719" t="e">
        <f ca="1">VLOOKUP($A355,Data!$C$2:$H$370,6,FALSE)</f>
        <v>#VALUE!</v>
      </c>
    </row>
    <row r="356" spans="1:2" ht="13.95" customHeight="1" x14ac:dyDescent="0.25">
      <c r="A356" s="588" t="s">
        <v>242</v>
      </c>
      <c r="B356" s="719" t="e">
        <f ca="1">VLOOKUP($A356,Data!$C$2:$H$370,6,FALSE)</f>
        <v>#VALUE!</v>
      </c>
    </row>
    <row r="357" spans="1:2" ht="13.95" customHeight="1" x14ac:dyDescent="0.25">
      <c r="A357" s="588" t="s">
        <v>243</v>
      </c>
      <c r="B357" s="719" t="e">
        <f ca="1">VLOOKUP($A357,Data!$C$2:$H$370,6,FALSE)</f>
        <v>#VALUE!</v>
      </c>
    </row>
    <row r="358" spans="1:2" ht="13.95" customHeight="1" x14ac:dyDescent="0.25">
      <c r="A358" s="588" t="s">
        <v>245</v>
      </c>
      <c r="B358" s="719" t="e">
        <f ca="1">VLOOKUP($A358,Data!$C$2:$H$370,6,FALSE)</f>
        <v>#VALUE!</v>
      </c>
    </row>
    <row r="359" spans="1:2" ht="13.95" customHeight="1" x14ac:dyDescent="0.25">
      <c r="A359" s="588" t="s">
        <v>246</v>
      </c>
      <c r="B359" s="719" t="e">
        <f ca="1">VLOOKUP($A359,Data!$C$2:$H$370,6,FALSE)</f>
        <v>#VALUE!</v>
      </c>
    </row>
    <row r="360" spans="1:2" ht="13.95" customHeight="1" x14ac:dyDescent="0.25">
      <c r="A360" s="588" t="s">
        <v>247</v>
      </c>
      <c r="B360" s="719" t="e">
        <f ca="1">VLOOKUP($A360,Data!$C$2:$H$370,6,FALSE)</f>
        <v>#VALUE!</v>
      </c>
    </row>
    <row r="361" spans="1:2" ht="13.95" customHeight="1" x14ac:dyDescent="0.25">
      <c r="A361" s="588" t="s">
        <v>248</v>
      </c>
      <c r="B361" s="719" t="e">
        <f ca="1">VLOOKUP($A361,Data!$C$2:$H$370,6,FALSE)</f>
        <v>#VALUE!</v>
      </c>
    </row>
    <row r="362" spans="1:2" ht="13.95" customHeight="1" x14ac:dyDescent="0.25">
      <c r="A362" s="588" t="s">
        <v>249</v>
      </c>
      <c r="B362" s="719" t="e">
        <f ca="1">VLOOKUP($A362,Data!$C$2:$H$370,6,FALSE)</f>
        <v>#VALUE!</v>
      </c>
    </row>
    <row r="363" spans="1:2" ht="13.95" customHeight="1" x14ac:dyDescent="0.25">
      <c r="A363" s="588" t="s">
        <v>250</v>
      </c>
      <c r="B363" s="719" t="e">
        <f ca="1">VLOOKUP($A363,Data!$C$2:$H$370,6,FALSE)</f>
        <v>#VALUE!</v>
      </c>
    </row>
    <row r="364" spans="1:2" ht="13.95" customHeight="1" x14ac:dyDescent="0.25">
      <c r="A364" s="588" t="s">
        <v>1122</v>
      </c>
      <c r="B364" s="719" t="e">
        <f ca="1">VLOOKUP($A364,Data!$C$2:$H$370,6,FALSE)</f>
        <v>#VALUE!</v>
      </c>
    </row>
    <row r="365" spans="1:2" ht="13.95" customHeight="1" x14ac:dyDescent="0.25">
      <c r="A365" s="588" t="s">
        <v>1123</v>
      </c>
      <c r="B365" s="719" t="e">
        <f ca="1">VLOOKUP($A365,Data!$C$2:$H$370,6,FALSE)</f>
        <v>#VALUE!</v>
      </c>
    </row>
    <row r="366" spans="1:2" ht="13.95" customHeight="1" x14ac:dyDescent="0.25">
      <c r="A366" s="588" t="s">
        <v>1124</v>
      </c>
      <c r="B366" s="719" t="e">
        <f ca="1">VLOOKUP($A366,Data!$C$2:$H$370,6,FALSE)</f>
        <v>#VALUE!</v>
      </c>
    </row>
    <row r="367" spans="1:2" ht="13.95" customHeight="1" x14ac:dyDescent="0.25">
      <c r="A367" s="588" t="s">
        <v>1125</v>
      </c>
      <c r="B367" s="719" t="e">
        <f ca="1">VLOOKUP($A367,Data!$C$2:$H$370,6,FALSE)</f>
        <v>#VALUE!</v>
      </c>
    </row>
    <row r="368" spans="1:2" ht="13.95" customHeight="1" x14ac:dyDescent="0.25">
      <c r="A368" s="588" t="s">
        <v>1126</v>
      </c>
      <c r="B368" s="719" t="e">
        <f ca="1">VLOOKUP($A368,Data!$C$2:$H$370,6,FALSE)</f>
        <v>#VALUE!</v>
      </c>
    </row>
    <row r="369" spans="1:2" ht="13.95" customHeight="1" x14ac:dyDescent="0.25">
      <c r="A369" s="588" t="s">
        <v>1128</v>
      </c>
      <c r="B369" s="719" t="e">
        <f ca="1">VLOOKUP($A369,Data!$C$2:$H$370,6,FALSE)</f>
        <v>#VALUE!</v>
      </c>
    </row>
    <row r="370" spans="1:2" ht="13.95" customHeight="1" x14ac:dyDescent="0.25">
      <c r="A370" s="588" t="s">
        <v>1129</v>
      </c>
      <c r="B370" s="719" t="e">
        <f ca="1">VLOOKUP($A370,Data!$C$2:$H$370,6,FALSE)</f>
        <v>#VALUE!</v>
      </c>
    </row>
    <row r="371" spans="1:2" ht="13.95" customHeight="1" x14ac:dyDescent="0.25">
      <c r="A371" s="588" t="s">
        <v>1130</v>
      </c>
      <c r="B371" s="719" t="e">
        <f ca="1">VLOOKUP($A371,Data!$C$2:$H$370,6,FALSE)</f>
        <v>#VALUE!</v>
      </c>
    </row>
    <row r="372" spans="1:2" ht="13.95" customHeight="1" x14ac:dyDescent="0.25">
      <c r="A372" s="588" t="s">
        <v>1131</v>
      </c>
      <c r="B372" s="719" t="e">
        <f ca="1">VLOOKUP($A372,Data!$C$2:$H$370,6,FALSE)</f>
        <v>#VALUE!</v>
      </c>
    </row>
    <row r="373" spans="1:2" ht="13.95" customHeight="1" x14ac:dyDescent="0.25">
      <c r="A373" s="588" t="s">
        <v>1132</v>
      </c>
      <c r="B373" s="719" t="e">
        <f ca="1">VLOOKUP($A373,Data!$C$2:$H$370,6,FALSE)</f>
        <v>#VALUE!</v>
      </c>
    </row>
    <row r="374" spans="1:2" ht="13.95" customHeight="1" x14ac:dyDescent="0.25">
      <c r="A374" s="588" t="s">
        <v>1133</v>
      </c>
      <c r="B374" s="719" t="e">
        <f ca="1">VLOOKUP($A374,Data!$C$2:$H$370,6,FALSE)</f>
        <v>#VALUE!</v>
      </c>
    </row>
    <row r="375" spans="1:2" ht="13.95" customHeight="1" x14ac:dyDescent="0.25">
      <c r="A375" s="588" t="s">
        <v>1134</v>
      </c>
      <c r="B375" s="719" t="e">
        <f ca="1">VLOOKUP($A375,Data!$C$2:$H$370,6,FALSE)</f>
        <v>#VALUE!</v>
      </c>
    </row>
    <row r="376" spans="1:2" ht="13.95" customHeight="1" x14ac:dyDescent="0.25">
      <c r="A376" s="588" t="s">
        <v>1135</v>
      </c>
      <c r="B376" s="719" t="e">
        <f ca="1">VLOOKUP($A376,Data!$C$2:$H$370,6,FALSE)</f>
        <v>#VALUE!</v>
      </c>
    </row>
    <row r="377" spans="1:2" ht="13.95" customHeight="1" x14ac:dyDescent="0.25">
      <c r="A377" s="588" t="s">
        <v>1136</v>
      </c>
      <c r="B377" s="719" t="e">
        <f ca="1">VLOOKUP($A377,Data!$C$2:$H$370,6,FALSE)</f>
        <v>#VALUE!</v>
      </c>
    </row>
    <row r="378" spans="1:2" ht="13.95" customHeight="1" x14ac:dyDescent="0.25">
      <c r="A378" s="588" t="s">
        <v>1137</v>
      </c>
      <c r="B378" s="719" t="e">
        <f ca="1">VLOOKUP($A378,Data!$C$2:$H$370,6,FALSE)</f>
        <v>#VALUE!</v>
      </c>
    </row>
    <row r="379" spans="1:2" ht="13.95" customHeight="1" x14ac:dyDescent="0.25">
      <c r="A379" s="588" t="s">
        <v>1138</v>
      </c>
      <c r="B379" s="719" t="e">
        <f ca="1">VLOOKUP($A379,Data!$C$2:$H$370,6,FALSE)</f>
        <v>#VALUE!</v>
      </c>
    </row>
    <row r="380" spans="1:2" ht="13.95" customHeight="1" x14ac:dyDescent="0.25">
      <c r="A380" s="588" t="s">
        <v>1139</v>
      </c>
      <c r="B380" s="719" t="e">
        <f ca="1">VLOOKUP($A380,Data!$C$2:$H$370,6,FALSE)</f>
        <v>#VALUE!</v>
      </c>
    </row>
    <row r="381" spans="1:2" ht="13.95" customHeight="1" x14ac:dyDescent="0.25">
      <c r="A381" s="588" t="s">
        <v>1140</v>
      </c>
      <c r="B381" s="719" t="e">
        <f ca="1">VLOOKUP($A381,Data!$C$2:$H$370,6,FALSE)</f>
        <v>#VALUE!</v>
      </c>
    </row>
    <row r="382" spans="1:2" ht="13.95" customHeight="1" x14ac:dyDescent="0.25">
      <c r="A382" s="588" t="s">
        <v>1141</v>
      </c>
      <c r="B382" s="719" t="e">
        <f ca="1">VLOOKUP($A382,Data!$C$2:$H$370,6,FALSE)</f>
        <v>#VALUE!</v>
      </c>
    </row>
    <row r="383" spans="1:2" ht="13.95" customHeight="1" x14ac:dyDescent="0.25">
      <c r="A383" s="588" t="s">
        <v>1142</v>
      </c>
      <c r="B383" s="719" t="e">
        <f ca="1">VLOOKUP($A383,Data!$C$2:$H$370,6,FALSE)</f>
        <v>#VALUE!</v>
      </c>
    </row>
    <row r="384" spans="1:2" ht="13.95" customHeight="1" x14ac:dyDescent="0.25">
      <c r="A384" s="588" t="s">
        <v>1143</v>
      </c>
      <c r="B384" s="719" t="e">
        <f ca="1">VLOOKUP($A384,Data!$C$2:$H$370,6,FALSE)</f>
        <v>#VALUE!</v>
      </c>
    </row>
    <row r="385" spans="1:2" ht="13.95" customHeight="1" x14ac:dyDescent="0.25">
      <c r="A385" s="588" t="s">
        <v>1144</v>
      </c>
      <c r="B385" s="719" t="e">
        <f ca="1">VLOOKUP($A385,Data!$C$2:$H$370,6,FALSE)</f>
        <v>#VALUE!</v>
      </c>
    </row>
    <row r="386" spans="1:2" ht="13.95" customHeight="1" x14ac:dyDescent="0.25">
      <c r="A386" s="588" t="s">
        <v>183</v>
      </c>
      <c r="B386" s="719" t="e">
        <f ca="1">VLOOKUP($A386,Data!$C$2:$H$370,6,FALSE)</f>
        <v>#VALUE!</v>
      </c>
    </row>
    <row r="387" spans="1:2" ht="13.95" customHeight="1" x14ac:dyDescent="0.25">
      <c r="A387" s="588" t="s">
        <v>184</v>
      </c>
      <c r="B387" s="719" t="e">
        <f ca="1">VLOOKUP($A387,Data!$C$2:$H$370,6,FALSE)</f>
        <v>#VALUE!</v>
      </c>
    </row>
    <row r="388" spans="1:2" ht="13.95" customHeight="1" x14ac:dyDescent="0.25">
      <c r="A388" s="588" t="s">
        <v>185</v>
      </c>
      <c r="B388" s="719" t="e">
        <f ca="1">VLOOKUP($A388,Data!$C$2:$H$370,6,FALSE)</f>
        <v>#VALUE!</v>
      </c>
    </row>
    <row r="389" spans="1:2" ht="13.95" customHeight="1" x14ac:dyDescent="0.25">
      <c r="A389" s="588" t="s">
        <v>186</v>
      </c>
      <c r="B389" s="719" t="e">
        <f ca="1">VLOOKUP($A389,Data!$C$2:$H$370,6,FALSE)</f>
        <v>#VALUE!</v>
      </c>
    </row>
    <row r="390" spans="1:2" ht="13.95" customHeight="1" x14ac:dyDescent="0.25">
      <c r="A390" s="588" t="s">
        <v>187</v>
      </c>
      <c r="B390" s="719" t="e">
        <f ca="1">VLOOKUP($A390,Data!$C$2:$H$370,6,FALSE)</f>
        <v>#VALUE!</v>
      </c>
    </row>
    <row r="391" spans="1:2" ht="13.95" customHeight="1" x14ac:dyDescent="0.25">
      <c r="A391" s="588" t="s">
        <v>188</v>
      </c>
      <c r="B391" s="719" t="e">
        <f ca="1">VLOOKUP($A391,Data!$C$2:$H$370,6,FALSE)</f>
        <v>#VALUE!</v>
      </c>
    </row>
    <row r="392" spans="1:2" ht="13.95" customHeight="1" x14ac:dyDescent="0.25">
      <c r="A392" s="588" t="s">
        <v>189</v>
      </c>
      <c r="B392" s="719" t="e">
        <f ca="1">VLOOKUP($A392,Data!$C$2:$H$370,6,FALSE)</f>
        <v>#VALUE!</v>
      </c>
    </row>
    <row r="393" spans="1:2" ht="13.95" customHeight="1" x14ac:dyDescent="0.25">
      <c r="A393" s="588" t="s">
        <v>190</v>
      </c>
      <c r="B393" s="719" t="e">
        <f ca="1">VLOOKUP($A393,Data!$C$2:$H$370,6,FALSE)</f>
        <v>#VALUE!</v>
      </c>
    </row>
    <row r="394" spans="1:2" ht="13.95" customHeight="1" x14ac:dyDescent="0.25">
      <c r="A394" s="588" t="s">
        <v>191</v>
      </c>
      <c r="B394" s="719" t="e">
        <f ca="1">VLOOKUP($A394,Data!$C$2:$H$370,6,FALSE)</f>
        <v>#VALUE!</v>
      </c>
    </row>
    <row r="395" spans="1:2" ht="13.95" customHeight="1" x14ac:dyDescent="0.25">
      <c r="A395" s="588" t="s">
        <v>192</v>
      </c>
      <c r="B395" s="719" t="e">
        <f ca="1">VLOOKUP($A395,Data!$C$2:$H$370,6,FALSE)</f>
        <v>#VALUE!</v>
      </c>
    </row>
    <row r="396" spans="1:2" ht="13.95" customHeight="1" x14ac:dyDescent="0.25">
      <c r="A396" s="588" t="s">
        <v>193</v>
      </c>
      <c r="B396" s="719" t="e">
        <f ca="1">VLOOKUP($A396,Data!$C$2:$H$370,6,FALSE)</f>
        <v>#VALUE!</v>
      </c>
    </row>
    <row r="397" spans="1:2" ht="13.95" customHeight="1" x14ac:dyDescent="0.25">
      <c r="A397" s="588" t="s">
        <v>195</v>
      </c>
      <c r="B397" s="719" t="e">
        <f ca="1">VLOOKUP($A397,Data!$C$2:$H$370,6,FALSE)</f>
        <v>#VALUE!</v>
      </c>
    </row>
    <row r="398" spans="1:2" ht="13.95" customHeight="1" x14ac:dyDescent="0.25">
      <c r="A398" s="588" t="s">
        <v>197</v>
      </c>
      <c r="B398" s="719" t="e">
        <f ca="1">VLOOKUP($A398,Data!$C$2:$H$370,6,FALSE)</f>
        <v>#VALUE!</v>
      </c>
    </row>
    <row r="399" spans="1:2" ht="13.95" customHeight="1" x14ac:dyDescent="0.25">
      <c r="A399" s="588" t="s">
        <v>198</v>
      </c>
      <c r="B399" s="719" t="e">
        <f ca="1">VLOOKUP($A399,Data!$C$2:$H$370,6,FALSE)</f>
        <v>#VALUE!</v>
      </c>
    </row>
    <row r="400" spans="1:2" ht="13.95" customHeight="1" x14ac:dyDescent="0.25">
      <c r="A400" s="588" t="s">
        <v>199</v>
      </c>
      <c r="B400" s="719" t="e">
        <f ca="1">VLOOKUP($A400,Data!$C$2:$H$370,6,FALSE)</f>
        <v>#VALUE!</v>
      </c>
    </row>
    <row r="401" spans="1:2" ht="13.95" customHeight="1" x14ac:dyDescent="0.25">
      <c r="A401" s="588" t="s">
        <v>200</v>
      </c>
      <c r="B401" s="719" t="e">
        <f ca="1">VLOOKUP($A401,Data!$C$2:$H$370,6,FALSE)</f>
        <v>#VALUE!</v>
      </c>
    </row>
    <row r="402" spans="1:2" ht="13.95" customHeight="1" x14ac:dyDescent="0.25">
      <c r="A402" s="588" t="s">
        <v>201</v>
      </c>
      <c r="B402" s="719" t="e">
        <f ca="1">VLOOKUP($A402,Data!$C$2:$H$370,6,FALSE)</f>
        <v>#VALUE!</v>
      </c>
    </row>
    <row r="403" spans="1:2" ht="13.95" customHeight="1" x14ac:dyDescent="0.25">
      <c r="A403" s="588" t="s">
        <v>202</v>
      </c>
      <c r="B403" s="719" t="e">
        <f ca="1">VLOOKUP($A403,Data!$C$2:$H$370,6,FALSE)</f>
        <v>#VALUE!</v>
      </c>
    </row>
    <row r="404" spans="1:2" ht="13.95" customHeight="1" x14ac:dyDescent="0.25">
      <c r="A404" s="588" t="s">
        <v>203</v>
      </c>
      <c r="B404" s="719" t="e">
        <f ca="1">VLOOKUP($A404,Data!$C$2:$H$370,6,FALSE)</f>
        <v>#VALUE!</v>
      </c>
    </row>
    <row r="405" spans="1:2" ht="13.95" customHeight="1" x14ac:dyDescent="0.25">
      <c r="A405" s="588" t="s">
        <v>204</v>
      </c>
      <c r="B405" s="719" t="e">
        <f ca="1">VLOOKUP($A405,Data!$C$2:$H$370,6,FALSE)</f>
        <v>#VALUE!</v>
      </c>
    </row>
    <row r="406" spans="1:2" ht="13.95" customHeight="1" x14ac:dyDescent="0.25">
      <c r="A406" s="588" t="s">
        <v>205</v>
      </c>
      <c r="B406" s="719" t="e">
        <f ca="1">VLOOKUP($A406,Data!$C$2:$H$370,6,FALSE)</f>
        <v>#VALUE!</v>
      </c>
    </row>
    <row r="407" spans="1:2" ht="13.95" customHeight="1" x14ac:dyDescent="0.25">
      <c r="A407" s="588" t="s">
        <v>207</v>
      </c>
      <c r="B407" s="719" t="e">
        <f ca="1">VLOOKUP($A407,Data!$C$2:$H$370,6,FALSE)</f>
        <v>#VALUE!</v>
      </c>
    </row>
    <row r="408" spans="1:2" ht="13.95" customHeight="1" x14ac:dyDescent="0.25">
      <c r="A408" s="588" t="s">
        <v>209</v>
      </c>
      <c r="B408" s="719" t="e">
        <f ca="1">VLOOKUP($A408,Data!$C$2:$H$370,6,FALSE)</f>
        <v>#VALUE!</v>
      </c>
    </row>
    <row r="409" spans="1:2" ht="13.95" customHeight="1" x14ac:dyDescent="0.25">
      <c r="A409" s="588" t="s">
        <v>215</v>
      </c>
      <c r="B409" s="719" t="e">
        <f ca="1">VLOOKUP($A409,Data!$C$2:$H$370,6,FALSE)</f>
        <v>#VALUE!</v>
      </c>
    </row>
    <row r="410" spans="1:2" ht="13.95" customHeight="1" x14ac:dyDescent="0.25">
      <c r="A410" s="588" t="s">
        <v>216</v>
      </c>
      <c r="B410" s="719" t="e">
        <f ca="1">VLOOKUP($A410,Data!$C$2:$H$370,6,FALSE)</f>
        <v>#VALUE!</v>
      </c>
    </row>
    <row r="411" spans="1:2" ht="13.95" customHeight="1" x14ac:dyDescent="0.25">
      <c r="A411" s="588" t="s">
        <v>217</v>
      </c>
      <c r="B411" s="719" t="e">
        <f ca="1">VLOOKUP($A411,Data!$C$2:$H$370,6,FALSE)</f>
        <v>#VALUE!</v>
      </c>
    </row>
    <row r="412" spans="1:2" ht="13.95" customHeight="1" x14ac:dyDescent="0.25">
      <c r="A412" s="588" t="s">
        <v>218</v>
      </c>
      <c r="B412" s="719" t="e">
        <f ca="1">VLOOKUP($A412,Data!$C$2:$H$370,6,FALSE)</f>
        <v>#VALUE!</v>
      </c>
    </row>
    <row r="413" spans="1:2" ht="13.95" customHeight="1" x14ac:dyDescent="0.25">
      <c r="A413" s="588" t="s">
        <v>219</v>
      </c>
      <c r="B413" s="719" t="e">
        <f ca="1">VLOOKUP($A413,Data!$C$2:$H$370,6,FALSE)</f>
        <v>#VALUE!</v>
      </c>
    </row>
    <row r="414" spans="1:2" ht="13.95" customHeight="1" x14ac:dyDescent="0.25">
      <c r="A414" s="588" t="s">
        <v>220</v>
      </c>
      <c r="B414" s="719" t="e">
        <f ca="1">VLOOKUP($A414,Data!$C$2:$H$370,6,FALSE)</f>
        <v>#VALUE!</v>
      </c>
    </row>
    <row r="415" spans="1:2" ht="13.95" customHeight="1" x14ac:dyDescent="0.25">
      <c r="A415" s="588" t="s">
        <v>315</v>
      </c>
      <c r="B415" s="719" t="e">
        <f ca="1">VLOOKUP($A415,Data!$C$2:$H$370,6,FALSE)</f>
        <v>#VALUE!</v>
      </c>
    </row>
    <row r="416" spans="1:2" ht="13.95" customHeight="1" x14ac:dyDescent="0.25">
      <c r="A416" s="588" t="s">
        <v>316</v>
      </c>
      <c r="B416" s="719" t="e">
        <f ca="1">VLOOKUP($A416,Data!$C$2:$H$370,6,FALSE)</f>
        <v>#VALUE!</v>
      </c>
    </row>
    <row r="417" spans="1:2" ht="13.95" customHeight="1" x14ac:dyDescent="0.25">
      <c r="A417" s="588" t="s">
        <v>317</v>
      </c>
      <c r="B417" s="719" t="e">
        <f ca="1">VLOOKUP($A417,Data!$C$2:$H$370,6,FALSE)</f>
        <v>#VALUE!</v>
      </c>
    </row>
    <row r="418" spans="1:2" ht="13.95" customHeight="1" x14ac:dyDescent="0.25">
      <c r="A418" s="588" t="s">
        <v>318</v>
      </c>
      <c r="B418" s="719" t="e">
        <f ca="1">VLOOKUP($A418,Data!$C$2:$H$370,6,FALSE)</f>
        <v>#VALUE!</v>
      </c>
    </row>
    <row r="419" spans="1:2" ht="13.95" customHeight="1" x14ac:dyDescent="0.25">
      <c r="A419" s="588" t="s">
        <v>319</v>
      </c>
      <c r="B419" s="719" t="e">
        <f ca="1">VLOOKUP($A419,Data!$C$2:$H$370,6,FALSE)</f>
        <v>#VALUE!</v>
      </c>
    </row>
    <row r="420" spans="1:2" ht="13.95" customHeight="1" x14ac:dyDescent="0.25">
      <c r="A420" s="588" t="s">
        <v>320</v>
      </c>
      <c r="B420" s="719" t="e">
        <f ca="1">VLOOKUP($A420,Data!$C$2:$H$370,6,FALSE)</f>
        <v>#VALUE!</v>
      </c>
    </row>
    <row r="421" spans="1:2" ht="13.95" customHeight="1" x14ac:dyDescent="0.25">
      <c r="A421" s="588" t="s">
        <v>321</v>
      </c>
      <c r="B421" s="719" t="e">
        <f ca="1">VLOOKUP($A421,Data!$C$2:$H$370,6,FALSE)</f>
        <v>#VALUE!</v>
      </c>
    </row>
    <row r="422" spans="1:2" ht="13.95" customHeight="1" x14ac:dyDescent="0.25">
      <c r="A422" s="588" t="s">
        <v>322</v>
      </c>
      <c r="B422" s="719" t="e">
        <f ca="1">VLOOKUP($A422,Data!$C$2:$H$370,6,FALSE)</f>
        <v>#VALUE!</v>
      </c>
    </row>
    <row r="423" spans="1:2" ht="13.95" customHeight="1" x14ac:dyDescent="0.25">
      <c r="A423" s="588" t="s">
        <v>323</v>
      </c>
      <c r="B423" s="719" t="e">
        <f ca="1">VLOOKUP($A423,Data!$C$2:$H$370,6,FALSE)</f>
        <v>#VALUE!</v>
      </c>
    </row>
    <row r="424" spans="1:2" ht="13.95" customHeight="1" x14ac:dyDescent="0.25">
      <c r="A424" s="588" t="s">
        <v>324</v>
      </c>
      <c r="B424" s="719" t="e">
        <f ca="1">VLOOKUP($A424,Data!$C$2:$H$370,6,FALSE)</f>
        <v>#VALUE!</v>
      </c>
    </row>
    <row r="425" spans="1:2" ht="13.95" customHeight="1" x14ac:dyDescent="0.25">
      <c r="A425" s="588" t="s">
        <v>325</v>
      </c>
      <c r="B425" s="719" t="e">
        <f ca="1">VLOOKUP($A425,Data!$C$2:$H$370,6,FALSE)</f>
        <v>#VALUE!</v>
      </c>
    </row>
    <row r="426" spans="1:2" ht="13.95" customHeight="1" x14ac:dyDescent="0.25">
      <c r="A426" s="588" t="s">
        <v>326</v>
      </c>
      <c r="B426" s="719" t="e">
        <f ca="1">VLOOKUP($A426,Data!$C$2:$H$370,6,FALSE)</f>
        <v>#VALUE!</v>
      </c>
    </row>
    <row r="427" spans="1:2" ht="13.95" customHeight="1" x14ac:dyDescent="0.25">
      <c r="A427" s="588" t="s">
        <v>327</v>
      </c>
      <c r="B427" s="719" t="e">
        <f ca="1">VLOOKUP($A427,Data!$C$2:$H$370,6,FALSE)</f>
        <v>#VALUE!</v>
      </c>
    </row>
    <row r="428" spans="1:2" ht="13.95" customHeight="1" x14ac:dyDescent="0.25">
      <c r="A428" s="588" t="s">
        <v>328</v>
      </c>
      <c r="B428" s="719" t="e">
        <f ca="1">VLOOKUP($A428,Data!$C$2:$H$370,6,FALSE)</f>
        <v>#VALUE!</v>
      </c>
    </row>
    <row r="429" spans="1:2" ht="13.95" customHeight="1" x14ac:dyDescent="0.25">
      <c r="A429" s="588" t="s">
        <v>329</v>
      </c>
      <c r="B429" s="719" t="e">
        <f ca="1">VLOOKUP($A429,Data!$C$2:$H$370,6,FALSE)</f>
        <v>#VALUE!</v>
      </c>
    </row>
    <row r="430" spans="1:2" ht="13.95" customHeight="1" x14ac:dyDescent="0.25">
      <c r="A430" s="588" t="s">
        <v>330</v>
      </c>
      <c r="B430" s="719" t="e">
        <f ca="1">VLOOKUP($A430,Data!$C$2:$H$370,6,FALSE)</f>
        <v>#VALUE!</v>
      </c>
    </row>
    <row r="431" spans="1:2" ht="13.95" customHeight="1" x14ac:dyDescent="0.25">
      <c r="A431" s="588" t="s">
        <v>331</v>
      </c>
      <c r="B431" s="719" t="e">
        <f ca="1">VLOOKUP($A431,Data!$C$2:$H$370,6,FALSE)</f>
        <v>#VALUE!</v>
      </c>
    </row>
    <row r="432" spans="1:2" ht="13.95" customHeight="1" x14ac:dyDescent="0.25">
      <c r="A432" s="588" t="s">
        <v>332</v>
      </c>
      <c r="B432" s="719" t="e">
        <f ca="1">VLOOKUP($A432,Data!$C$2:$H$370,6,FALSE)</f>
        <v>#VALUE!</v>
      </c>
    </row>
    <row r="433" spans="1:2" ht="13.95" customHeight="1" x14ac:dyDescent="0.25">
      <c r="A433" s="588" t="s">
        <v>1077</v>
      </c>
      <c r="B433" s="719" t="e">
        <f ca="1">VLOOKUP($A433,Data!$C$2:$H$370,6,FALSE)</f>
        <v>#VALUE!</v>
      </c>
    </row>
    <row r="434" spans="1:2" ht="13.95" customHeight="1" x14ac:dyDescent="0.25">
      <c r="A434" s="588" t="s">
        <v>333</v>
      </c>
      <c r="B434" s="719" t="e">
        <f ca="1">VLOOKUP($A434,Data!$C$2:$H$370,6,FALSE)</f>
        <v>#VALUE!</v>
      </c>
    </row>
    <row r="435" spans="1:2" ht="13.95" customHeight="1" x14ac:dyDescent="0.25">
      <c r="A435" s="588" t="s">
        <v>334</v>
      </c>
      <c r="B435" s="719" t="e">
        <f ca="1">VLOOKUP($A435,Data!$C$2:$H$370,6,FALSE)</f>
        <v>#VALUE!</v>
      </c>
    </row>
    <row r="436" spans="1:2" ht="13.95" customHeight="1" x14ac:dyDescent="0.25">
      <c r="A436" s="588" t="s">
        <v>335</v>
      </c>
      <c r="B436" s="719" t="e">
        <f ca="1">VLOOKUP($A436,Data!$C$2:$H$370,6,FALSE)</f>
        <v>#VALUE!</v>
      </c>
    </row>
    <row r="437" spans="1:2" ht="13.95" customHeight="1" x14ac:dyDescent="0.25">
      <c r="A437" s="588" t="s">
        <v>336</v>
      </c>
      <c r="B437" s="719" t="e">
        <f ca="1">VLOOKUP($A437,Data!$C$2:$H$370,6,FALSE)</f>
        <v>#VALUE!</v>
      </c>
    </row>
    <row r="438" spans="1:2" ht="13.95" customHeight="1" x14ac:dyDescent="0.25">
      <c r="A438" s="588" t="s">
        <v>337</v>
      </c>
      <c r="B438" s="719" t="e">
        <f ca="1">VLOOKUP($A438,Data!$C$2:$H$370,6,FALSE)</f>
        <v>#VALUE!</v>
      </c>
    </row>
    <row r="439" spans="1:2" ht="13.95" customHeight="1" x14ac:dyDescent="0.25">
      <c r="A439" s="588" t="s">
        <v>338</v>
      </c>
      <c r="B439" s="719" t="e">
        <f ca="1">VLOOKUP($A439,Data!$C$2:$H$370,6,FALSE)</f>
        <v>#VALUE!</v>
      </c>
    </row>
    <row r="440" spans="1:2" ht="13.95" customHeight="1" x14ac:dyDescent="0.25">
      <c r="A440" s="588" t="s">
        <v>339</v>
      </c>
      <c r="B440" s="719" t="e">
        <f ca="1">VLOOKUP($A440,Data!$C$2:$H$370,6,FALSE)</f>
        <v>#VALUE!</v>
      </c>
    </row>
    <row r="441" spans="1:2" ht="13.95" customHeight="1" x14ac:dyDescent="0.25">
      <c r="A441" s="588" t="s">
        <v>340</v>
      </c>
      <c r="B441" s="719" t="e">
        <f ca="1">VLOOKUP($A441,Data!$C$2:$H$370,6,FALSE)</f>
        <v>#VALUE!</v>
      </c>
    </row>
    <row r="442" spans="1:2" ht="13.95" customHeight="1" x14ac:dyDescent="0.25">
      <c r="A442" s="588" t="s">
        <v>341</v>
      </c>
      <c r="B442" s="719" t="e">
        <f ca="1">VLOOKUP($A442,Data!$C$2:$H$370,6,FALSE)</f>
        <v>#VALUE!</v>
      </c>
    </row>
    <row r="443" spans="1:2" ht="13.95" customHeight="1" x14ac:dyDescent="0.25">
      <c r="A443" s="588" t="s">
        <v>342</v>
      </c>
      <c r="B443" s="719" t="e">
        <f ca="1">VLOOKUP($A443,Data!$C$2:$H$370,6,FALSE)</f>
        <v>#VALUE!</v>
      </c>
    </row>
    <row r="444" spans="1:2" ht="13.95" customHeight="1" x14ac:dyDescent="0.25">
      <c r="A444" s="588" t="s">
        <v>343</v>
      </c>
      <c r="B444" s="719" t="e">
        <f ca="1">VLOOKUP($A444,Data!$C$2:$H$370,6,FALSE)</f>
        <v>#VALUE!</v>
      </c>
    </row>
    <row r="445" spans="1:2" ht="13.95" customHeight="1" x14ac:dyDescent="0.25">
      <c r="A445" s="588" t="s">
        <v>932</v>
      </c>
      <c r="B445" s="719" t="s">
        <v>3062</v>
      </c>
    </row>
    <row r="446" spans="1:2" ht="13.95" customHeight="1" x14ac:dyDescent="0.25">
      <c r="A446" s="588" t="s">
        <v>933</v>
      </c>
      <c r="B446" s="719" t="s">
        <v>3062</v>
      </c>
    </row>
    <row r="447" spans="1:2" ht="13.95" customHeight="1" x14ac:dyDescent="0.25">
      <c r="A447" s="588" t="s">
        <v>934</v>
      </c>
      <c r="B447" s="719" t="s">
        <v>3062</v>
      </c>
    </row>
    <row r="448" spans="1:2" ht="13.95" customHeight="1" x14ac:dyDescent="0.25">
      <c r="A448" s="588" t="s">
        <v>935</v>
      </c>
      <c r="B448" s="719" t="s">
        <v>3062</v>
      </c>
    </row>
    <row r="449" spans="1:2" ht="13.95" customHeight="1" x14ac:dyDescent="0.25">
      <c r="A449" s="588" t="s">
        <v>936</v>
      </c>
      <c r="B449" s="719" t="s">
        <v>3062</v>
      </c>
    </row>
    <row r="450" spans="1:2" ht="13.95" customHeight="1" x14ac:dyDescent="0.25">
      <c r="A450" s="588" t="s">
        <v>937</v>
      </c>
      <c r="B450" s="719" t="s">
        <v>3062</v>
      </c>
    </row>
    <row r="451" spans="1:2" ht="13.95" customHeight="1" x14ac:dyDescent="0.25">
      <c r="A451" s="588" t="s">
        <v>938</v>
      </c>
      <c r="B451" s="719" t="s">
        <v>3062</v>
      </c>
    </row>
    <row r="452" spans="1:2" ht="13.95" customHeight="1" x14ac:dyDescent="0.25">
      <c r="A452" s="588" t="s">
        <v>939</v>
      </c>
      <c r="B452" s="719" t="s">
        <v>3062</v>
      </c>
    </row>
    <row r="453" spans="1:2" ht="13.95" customHeight="1" x14ac:dyDescent="0.25">
      <c r="A453" s="588" t="s">
        <v>940</v>
      </c>
      <c r="B453" s="719" t="s">
        <v>3062</v>
      </c>
    </row>
    <row r="454" spans="1:2" ht="13.95" customHeight="1" x14ac:dyDescent="0.25">
      <c r="A454" s="588" t="s">
        <v>941</v>
      </c>
      <c r="B454" s="719" t="s">
        <v>3062</v>
      </c>
    </row>
    <row r="455" spans="1:2" ht="13.95" customHeight="1" x14ac:dyDescent="0.25">
      <c r="A455" s="588" t="s">
        <v>942</v>
      </c>
      <c r="B455" s="719" t="s">
        <v>3062</v>
      </c>
    </row>
    <row r="456" spans="1:2" ht="13.95" customHeight="1" x14ac:dyDescent="0.25">
      <c r="A456" s="588" t="s">
        <v>943</v>
      </c>
      <c r="B456" s="719" t="s">
        <v>3062</v>
      </c>
    </row>
    <row r="457" spans="1:2" ht="13.95" customHeight="1" x14ac:dyDescent="0.25">
      <c r="A457" s="588" t="s">
        <v>944</v>
      </c>
      <c r="B457" s="719" t="s">
        <v>3062</v>
      </c>
    </row>
    <row r="458" spans="1:2" ht="13.95" customHeight="1" x14ac:dyDescent="0.25">
      <c r="A458" s="588" t="s">
        <v>945</v>
      </c>
      <c r="B458" s="719" t="s">
        <v>3062</v>
      </c>
    </row>
    <row r="459" spans="1:2" ht="13.95" customHeight="1" x14ac:dyDescent="0.25">
      <c r="A459" s="588" t="s">
        <v>946</v>
      </c>
      <c r="B459" s="719" t="s">
        <v>3062</v>
      </c>
    </row>
    <row r="460" spans="1:2" ht="13.95" customHeight="1" x14ac:dyDescent="0.25">
      <c r="A460" s="588" t="s">
        <v>947</v>
      </c>
      <c r="B460" s="719" t="s">
        <v>3062</v>
      </c>
    </row>
    <row r="461" spans="1:2" ht="13.95" customHeight="1" x14ac:dyDescent="0.25">
      <c r="A461" s="588" t="s">
        <v>948</v>
      </c>
      <c r="B461" s="719" t="s">
        <v>3062</v>
      </c>
    </row>
    <row r="462" spans="1:2" ht="13.95" customHeight="1" x14ac:dyDescent="0.25">
      <c r="A462" s="588" t="s">
        <v>949</v>
      </c>
      <c r="B462" s="719" t="s">
        <v>3062</v>
      </c>
    </row>
    <row r="463" spans="1:2" ht="13.95" customHeight="1" x14ac:dyDescent="0.25">
      <c r="A463" s="588" t="s">
        <v>950</v>
      </c>
      <c r="B463" s="719" t="s">
        <v>3062</v>
      </c>
    </row>
    <row r="464" spans="1:2" ht="13.95" customHeight="1" x14ac:dyDescent="0.25">
      <c r="A464" s="588" t="s">
        <v>951</v>
      </c>
      <c r="B464" s="719" t="s">
        <v>3062</v>
      </c>
    </row>
    <row r="465" spans="1:2" ht="13.95" customHeight="1" x14ac:dyDescent="0.25">
      <c r="A465" s="588" t="s">
        <v>952</v>
      </c>
      <c r="B465" s="719" t="s">
        <v>3062</v>
      </c>
    </row>
    <row r="466" spans="1:2" ht="13.95" customHeight="1" x14ac:dyDescent="0.25">
      <c r="A466" s="588" t="s">
        <v>953</v>
      </c>
      <c r="B466" s="719" t="s">
        <v>3062</v>
      </c>
    </row>
  </sheetData>
  <sheetProtection sheet="1" formatCells="0" formatColumns="0" formatRows="0" autoFilter="0"/>
  <mergeCells count="1">
    <mergeCell ref="A3:B3"/>
  </mergeCells>
  <pageMargins left="0.7" right="0.7" top="0.75" bottom="0.75" header="0.3" footer="0.3"/>
  <pageSetup paperSize="9" orientation="portrait" r:id="rId1"/>
  <tableParts count="1">
    <tablePart r:id="rId2"/>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C000"/>
  </sheetPr>
  <dimension ref="A1:U478"/>
  <sheetViews>
    <sheetView showGridLines="0" zoomScaleNormal="100" workbookViewId="0">
      <selection activeCell="D15" sqref="D15"/>
    </sheetView>
  </sheetViews>
  <sheetFormatPr defaultColWidth="9.1796875" defaultRowHeight="13.95" customHeight="1" x14ac:dyDescent="0.25"/>
  <cols>
    <col min="1" max="2" width="1.6328125" style="143" customWidth="1"/>
    <col min="3" max="3" width="21.36328125" style="143" customWidth="1"/>
    <col min="4" max="4" width="12.6328125" style="143" customWidth="1"/>
    <col min="5" max="5" width="25.6328125" style="143" customWidth="1"/>
    <col min="6" max="8" width="15.6328125" style="143" customWidth="1"/>
    <col min="9" max="9" width="5.6328125" style="143" customWidth="1"/>
    <col min="10" max="11" width="15.6328125" style="143" customWidth="1"/>
    <col min="12" max="12" width="5.6328125" style="143" customWidth="1"/>
    <col min="13" max="14" width="15.6328125" style="143" customWidth="1"/>
    <col min="15" max="15" width="5.6328125" style="143" customWidth="1"/>
    <col min="16" max="16" width="1.6328125" style="143" customWidth="1"/>
    <col min="17" max="17" width="1.6328125" style="307" customWidth="1"/>
    <col min="18" max="18" width="9.1796875" style="250"/>
    <col min="19" max="19" width="3.08984375" style="250" customWidth="1"/>
    <col min="20" max="20" width="80.6328125" style="250" customWidth="1"/>
    <col min="21" max="21" width="2.453125" style="250" customWidth="1"/>
    <col min="22" max="16384" width="9.1796875" style="250"/>
  </cols>
  <sheetData>
    <row r="1" spans="1:21" s="143" customFormat="1" ht="13.95" customHeight="1" x14ac:dyDescent="0.25">
      <c r="A1" s="138"/>
      <c r="B1" s="138"/>
      <c r="C1" s="138"/>
      <c r="D1" s="138"/>
      <c r="E1" s="138"/>
      <c r="F1" s="138"/>
      <c r="G1" s="138"/>
      <c r="H1" s="138"/>
      <c r="I1" s="138"/>
      <c r="J1" s="138"/>
      <c r="K1" s="138"/>
      <c r="L1" s="138"/>
      <c r="M1" s="138"/>
      <c r="N1" s="138"/>
      <c r="O1" s="138"/>
      <c r="P1" s="138"/>
      <c r="Q1" s="278"/>
      <c r="S1" s="838"/>
      <c r="T1" s="838"/>
      <c r="U1" s="839"/>
    </row>
    <row r="2" spans="1:21" s="261" customFormat="1" ht="18" customHeight="1" x14ac:dyDescent="0.25">
      <c r="A2" s="256"/>
      <c r="B2" s="145"/>
      <c r="C2" s="147"/>
      <c r="D2" s="147"/>
      <c r="E2" s="147"/>
      <c r="F2" s="147"/>
      <c r="G2" s="147"/>
      <c r="H2" s="147"/>
      <c r="I2" s="147"/>
      <c r="J2" s="147"/>
      <c r="K2" s="147"/>
      <c r="L2" s="147"/>
      <c r="M2" s="147"/>
      <c r="N2" s="147"/>
      <c r="O2" s="147"/>
      <c r="P2" s="371"/>
      <c r="Q2" s="278"/>
      <c r="S2" s="838"/>
      <c r="T2" s="1070" t="s">
        <v>2307</v>
      </c>
      <c r="U2" s="839"/>
    </row>
    <row r="3" spans="1:21" s="143" customFormat="1" ht="18" customHeight="1" x14ac:dyDescent="0.25">
      <c r="A3" s="138"/>
      <c r="B3" s="160"/>
      <c r="C3" s="264"/>
      <c r="D3" s="264"/>
      <c r="E3" s="264"/>
      <c r="F3" s="264"/>
      <c r="G3" s="264"/>
      <c r="H3" s="264"/>
      <c r="I3" s="264"/>
      <c r="J3" s="264"/>
      <c r="K3" s="264"/>
      <c r="L3" s="264"/>
      <c r="M3" s="264"/>
      <c r="N3" s="264"/>
      <c r="O3" s="264"/>
      <c r="P3" s="277"/>
      <c r="Q3" s="278"/>
      <c r="S3" s="838"/>
      <c r="T3" s="1071"/>
      <c r="U3" s="839"/>
    </row>
    <row r="4" spans="1:21" s="143" customFormat="1" ht="30" customHeight="1" x14ac:dyDescent="0.25">
      <c r="A4" s="138"/>
      <c r="B4" s="160"/>
      <c r="C4" s="372" t="str">
        <f>IF(VLOOKUP("KM80",Languages!$A:$D,1,TRUE)="KM80",VLOOKUP("KM80",Languages!$A:$D,Summary!$C$7,TRUE),NA())</f>
        <v>Arviointitulosten ja vertailutiedon tuonti</v>
      </c>
      <c r="D4" s="264"/>
      <c r="E4" s="264"/>
      <c r="F4" s="264"/>
      <c r="G4" s="264"/>
      <c r="H4" s="264"/>
      <c r="I4" s="264"/>
      <c r="J4" s="372"/>
      <c r="K4" s="264"/>
      <c r="L4" s="264"/>
      <c r="M4" s="264"/>
      <c r="N4" s="264"/>
      <c r="O4" s="264"/>
      <c r="P4" s="277"/>
      <c r="Q4" s="278"/>
      <c r="S4" s="838"/>
      <c r="T4" s="1298" t="s">
        <v>3108</v>
      </c>
      <c r="U4" s="839"/>
    </row>
    <row r="5" spans="1:21" s="143" customFormat="1" ht="13.95" customHeight="1" x14ac:dyDescent="0.25">
      <c r="A5" s="138"/>
      <c r="B5" s="160"/>
      <c r="C5" s="264"/>
      <c r="D5" s="264"/>
      <c r="E5" s="264"/>
      <c r="F5" s="264"/>
      <c r="G5" s="264"/>
      <c r="H5" s="264"/>
      <c r="I5" s="264"/>
      <c r="J5" s="264"/>
      <c r="K5" s="264"/>
      <c r="L5" s="264"/>
      <c r="M5" s="264"/>
      <c r="N5" s="264"/>
      <c r="O5" s="264"/>
      <c r="P5" s="277"/>
      <c r="Q5" s="278"/>
      <c r="S5" s="838"/>
      <c r="T5" s="1298"/>
      <c r="U5" s="839"/>
    </row>
    <row r="6" spans="1:21" s="377" customFormat="1" ht="13.95" customHeight="1" x14ac:dyDescent="0.25">
      <c r="A6" s="138"/>
      <c r="B6" s="373"/>
      <c r="C6" s="1303" t="str">
        <f>IF(VLOOKUP("KM50",Languages!$A:$D,1,TRUE)="KM50",VLOOKUP("KM50",Languages!$A:$D,Summary!$C$7,TRUE),NA())</f>
        <v>Aiemmat arviointitulokset (arviointivälilehdille)</v>
      </c>
      <c r="D6" s="1303"/>
      <c r="E6" s="1303"/>
      <c r="F6" s="574"/>
      <c r="G6" s="574"/>
      <c r="H6" s="574"/>
      <c r="I6" s="574"/>
      <c r="J6" s="1303" t="str">
        <f>IF(VLOOKUP("KM51",Languages!$A:$D,1,TRUE)="KM51",VLOOKUP("KM51",Languages!$A:$D,Summary!$C$7,TRUE),NA())</f>
        <v>Aiemmat arviointitulokset (raporteille)</v>
      </c>
      <c r="K6" s="1303"/>
      <c r="L6" s="1303"/>
      <c r="M6" s="1303" t="str">
        <f>IF(VLOOKUP("KM52",Languages!$A:$D,1,TRUE)="KM52",VLOOKUP("KM52",Languages!$A:$D,Summary!$C$7,TRUE),NA())</f>
        <v>Vertailutulokset (raporteille)</v>
      </c>
      <c r="N6" s="1303"/>
      <c r="O6" s="1303"/>
      <c r="P6" s="376"/>
      <c r="Q6" s="319"/>
      <c r="S6" s="838"/>
      <c r="T6" s="1298"/>
      <c r="U6" s="838"/>
    </row>
    <row r="7" spans="1:21" s="143" customFormat="1" ht="22.95" customHeight="1" x14ac:dyDescent="0.25">
      <c r="A7" s="138"/>
      <c r="B7" s="160"/>
      <c r="C7" s="592" t="str">
        <f>IF(VLOOKUP("KM82",Languages!$A:$D,1,TRUE)="KM82",VLOOKUP("KM82",Languages!$A:$D,Summary!$C$7,TRUE),NA())</f>
        <v>Tähän syötetyt tulokset näkyvät Kybermittarin arviointiosioissa nykyisten arvioiden vieressä (sarakkeissa O-S).</v>
      </c>
      <c r="D7" s="573"/>
      <c r="E7" s="573"/>
      <c r="F7" s="573"/>
      <c r="G7" s="573"/>
      <c r="H7" s="573"/>
      <c r="I7" s="573"/>
      <c r="J7" s="1304" t="str">
        <f>IF(VLOOKUP("KM54",Languages!$A:$D,1,TRUE)="KM54",VLOOKUP("KM54",Languages!$A:$D,Summary!$C$7,TRUE),NA())</f>
        <v>Tähän taulukkoon syötetyt vertailutiedot esitetään raporteissa.</v>
      </c>
      <c r="K7" s="1304"/>
      <c r="L7" s="592"/>
      <c r="M7" s="1304" t="str">
        <f>IF(VLOOKUP("KM55",Languages!$A:$D,1,TRUE)="KM55",VLOOKUP("KM55",Languages!$A:$D,Summary!$C$7,TRUE),NA())</f>
        <v>Tähän taulukkoon syötetyt vertailutiedot esitetään raporteissa.</v>
      </c>
      <c r="N7" s="1304"/>
      <c r="O7" s="592"/>
      <c r="P7" s="277"/>
      <c r="Q7" s="278"/>
      <c r="S7" s="838"/>
      <c r="T7" s="1298"/>
      <c r="U7" s="838"/>
    </row>
    <row r="8" spans="1:21" s="143" customFormat="1" ht="13.95" customHeight="1" thickBot="1" x14ac:dyDescent="0.3">
      <c r="A8" s="138"/>
      <c r="B8" s="160"/>
      <c r="C8" s="264"/>
      <c r="D8" s="264"/>
      <c r="E8" s="264"/>
      <c r="F8" s="264"/>
      <c r="G8" s="264"/>
      <c r="H8" s="264"/>
      <c r="I8" s="264"/>
      <c r="J8" s="1305"/>
      <c r="K8" s="1305"/>
      <c r="L8" s="264"/>
      <c r="M8" s="1305"/>
      <c r="N8" s="1305"/>
      <c r="O8" s="264"/>
      <c r="P8" s="277"/>
      <c r="Q8" s="319"/>
      <c r="S8" s="838"/>
      <c r="T8" s="1298"/>
      <c r="U8" s="838"/>
    </row>
    <row r="9" spans="1:21" ht="13.95" customHeight="1" thickBot="1" x14ac:dyDescent="0.3">
      <c r="A9" s="169"/>
      <c r="B9" s="273"/>
      <c r="C9" s="1300"/>
      <c r="D9" s="1302"/>
      <c r="E9" s="1302"/>
      <c r="F9" s="1302"/>
      <c r="G9" s="1302"/>
      <c r="H9" s="1301"/>
      <c r="I9" s="378"/>
      <c r="J9" s="1300" t="str">
        <f>IF(VLOOKUP("KM61",Languages!$A:$D,1,TRUE)="KM61",VLOOKUP("KM61",Languages!$A:$D,Summary!$C$7,TRUE),NA())</f>
        <v>Johdon kypsyysraportti (R1)</v>
      </c>
      <c r="K9" s="1301"/>
      <c r="L9" s="378"/>
      <c r="M9" s="1300" t="str">
        <f>IF(VLOOKUP("KM61",Languages!$A:$D,1,TRUE)="KM61",VLOOKUP("KM61",Languages!$A:$D,Summary!$C$7,TRUE),NA())</f>
        <v>Johdon kypsyysraportti (R1)</v>
      </c>
      <c r="N9" s="1301"/>
      <c r="O9" s="378"/>
      <c r="P9" s="277"/>
      <c r="Q9" s="278"/>
      <c r="S9" s="838"/>
      <c r="T9" s="1298"/>
      <c r="U9" s="838"/>
    </row>
    <row r="10" spans="1:21" ht="13.95" customHeight="1" x14ac:dyDescent="0.25">
      <c r="A10" s="169"/>
      <c r="B10" s="273"/>
      <c r="C10" s="264"/>
      <c r="D10" s="264"/>
      <c r="E10" s="264"/>
      <c r="F10" s="264"/>
      <c r="G10" s="264"/>
      <c r="H10" s="264"/>
      <c r="I10" s="378"/>
      <c r="J10" s="264"/>
      <c r="K10" s="264"/>
      <c r="L10" s="264"/>
      <c r="M10" s="264"/>
      <c r="N10" s="264"/>
      <c r="O10" s="378"/>
      <c r="P10" s="277"/>
      <c r="Q10" s="278"/>
      <c r="S10" s="838"/>
      <c r="T10" s="1298"/>
      <c r="U10" s="838"/>
    </row>
    <row r="11" spans="1:21" ht="13.95" customHeight="1" thickBot="1" x14ac:dyDescent="0.3">
      <c r="A11" s="169"/>
      <c r="B11" s="361"/>
      <c r="C11" s="594" t="s">
        <v>1803</v>
      </c>
      <c r="D11" s="929" t="s">
        <v>1802</v>
      </c>
      <c r="E11" s="929" t="s">
        <v>1804</v>
      </c>
      <c r="F11" s="929" t="s">
        <v>1805</v>
      </c>
      <c r="G11" s="929" t="s">
        <v>1806</v>
      </c>
      <c r="H11" s="930" t="s">
        <v>1807</v>
      </c>
      <c r="I11" s="379"/>
      <c r="J11" s="380" t="s">
        <v>1808</v>
      </c>
      <c r="K11" s="593" t="s">
        <v>1809</v>
      </c>
      <c r="L11" s="378"/>
      <c r="M11" s="380" t="s">
        <v>1808</v>
      </c>
      <c r="N11" s="593" t="s">
        <v>1809</v>
      </c>
      <c r="O11" s="379"/>
      <c r="P11" s="277"/>
      <c r="Q11" s="278"/>
      <c r="S11" s="838"/>
      <c r="T11" s="1298"/>
      <c r="U11" s="838"/>
    </row>
    <row r="12" spans="1:21" ht="13.95" customHeight="1" x14ac:dyDescent="0.25">
      <c r="A12" s="169"/>
      <c r="B12" s="361"/>
      <c r="C12" s="927" t="s">
        <v>701</v>
      </c>
      <c r="D12" s="931"/>
      <c r="E12" s="1062"/>
      <c r="F12" s="931"/>
      <c r="G12" s="931"/>
      <c r="H12" s="931"/>
      <c r="I12" s="379"/>
      <c r="J12" s="381" t="s">
        <v>1834</v>
      </c>
      <c r="K12" s="706"/>
      <c r="L12" s="378"/>
      <c r="M12" s="381" t="s">
        <v>1834</v>
      </c>
      <c r="N12" s="706"/>
      <c r="O12" s="379"/>
      <c r="P12" s="277"/>
      <c r="Q12" s="278"/>
      <c r="S12" s="838"/>
      <c r="T12" s="1298"/>
      <c r="U12" s="838"/>
    </row>
    <row r="13" spans="1:21" ht="13.95" customHeight="1" x14ac:dyDescent="0.25">
      <c r="A13" s="169"/>
      <c r="B13" s="273"/>
      <c r="C13" s="927" t="s">
        <v>698</v>
      </c>
      <c r="D13" s="931"/>
      <c r="E13" s="931"/>
      <c r="F13" s="931"/>
      <c r="G13" s="931"/>
      <c r="H13" s="931"/>
      <c r="I13" s="378"/>
      <c r="J13" s="381" t="s">
        <v>1835</v>
      </c>
      <c r="K13" s="707"/>
      <c r="L13" s="379"/>
      <c r="M13" s="381" t="s">
        <v>1835</v>
      </c>
      <c r="N13" s="707"/>
      <c r="O13" s="378"/>
      <c r="P13" s="277"/>
      <c r="Q13" s="278"/>
      <c r="S13" s="838"/>
      <c r="T13" s="1298"/>
      <c r="U13" s="838"/>
    </row>
    <row r="14" spans="1:21" ht="13.95" customHeight="1" x14ac:dyDescent="0.25">
      <c r="A14" s="169"/>
      <c r="B14" s="273"/>
      <c r="C14" s="927" t="s">
        <v>3034</v>
      </c>
      <c r="D14" s="932"/>
      <c r="E14" s="931"/>
      <c r="F14" s="1063"/>
      <c r="G14" s="1063"/>
      <c r="H14" s="931"/>
      <c r="I14" s="378"/>
      <c r="J14" s="381" t="s">
        <v>1836</v>
      </c>
      <c r="K14" s="708"/>
      <c r="L14" s="379"/>
      <c r="M14" s="381" t="s">
        <v>1836</v>
      </c>
      <c r="N14" s="708"/>
      <c r="O14" s="378"/>
      <c r="P14" s="277"/>
      <c r="Q14" s="278"/>
      <c r="S14" s="838"/>
      <c r="T14" s="1298"/>
      <c r="U14" s="838"/>
    </row>
    <row r="15" spans="1:21" ht="13.95" customHeight="1" x14ac:dyDescent="0.25">
      <c r="A15" s="169"/>
      <c r="B15" s="273"/>
      <c r="C15" s="927" t="s">
        <v>699</v>
      </c>
      <c r="D15" s="931"/>
      <c r="E15" s="931"/>
      <c r="F15" s="931"/>
      <c r="G15" s="931"/>
      <c r="H15" s="931"/>
      <c r="I15" s="378"/>
      <c r="J15" s="381" t="s">
        <v>1837</v>
      </c>
      <c r="K15" s="707"/>
      <c r="L15" s="378"/>
      <c r="M15" s="381" t="s">
        <v>1837</v>
      </c>
      <c r="N15" s="707"/>
      <c r="O15" s="378"/>
      <c r="P15" s="277"/>
      <c r="Q15" s="278"/>
      <c r="S15" s="838"/>
      <c r="T15" s="1298"/>
      <c r="U15" s="838"/>
    </row>
    <row r="16" spans="1:21" ht="13.95" customHeight="1" x14ac:dyDescent="0.25">
      <c r="A16" s="169"/>
      <c r="B16" s="273"/>
      <c r="C16" s="927" t="s">
        <v>700</v>
      </c>
      <c r="D16" s="931"/>
      <c r="E16" s="931"/>
      <c r="F16" s="931"/>
      <c r="G16" s="931"/>
      <c r="H16" s="931"/>
      <c r="I16" s="378"/>
      <c r="J16" s="381" t="s">
        <v>1838</v>
      </c>
      <c r="K16" s="708"/>
      <c r="L16" s="378"/>
      <c r="M16" s="381" t="s">
        <v>1838</v>
      </c>
      <c r="N16" s="708"/>
      <c r="O16" s="378"/>
      <c r="P16" s="277"/>
      <c r="Q16" s="278"/>
      <c r="S16" s="838"/>
      <c r="T16" s="1299"/>
      <c r="U16" s="838"/>
    </row>
    <row r="17" spans="1:21" ht="13.95" customHeight="1" thickBot="1" x14ac:dyDescent="0.3">
      <c r="A17" s="169"/>
      <c r="B17" s="273"/>
      <c r="C17" s="927" t="s">
        <v>2275</v>
      </c>
      <c r="D17" s="931"/>
      <c r="E17" s="931"/>
      <c r="F17" s="1064"/>
      <c r="G17" s="1064"/>
      <c r="H17" s="931"/>
      <c r="I17" s="378"/>
      <c r="J17" s="381"/>
      <c r="K17" s="264"/>
      <c r="L17" s="378"/>
      <c r="M17" s="264"/>
      <c r="N17" s="264"/>
      <c r="O17" s="378"/>
      <c r="P17" s="277"/>
      <c r="Q17" s="278"/>
      <c r="S17" s="838"/>
      <c r="T17" s="838"/>
      <c r="U17" s="838"/>
    </row>
    <row r="18" spans="1:21" ht="13.95" customHeight="1" thickBot="1" x14ac:dyDescent="0.3">
      <c r="A18" s="169"/>
      <c r="B18" s="273"/>
      <c r="C18" s="927" t="s">
        <v>2276</v>
      </c>
      <c r="D18" s="931"/>
      <c r="E18" s="931"/>
      <c r="F18" s="1064"/>
      <c r="G18" s="1064"/>
      <c r="H18" s="931"/>
      <c r="I18" s="378"/>
      <c r="J18" s="1300" t="str">
        <f>IF(VLOOKUP("KM60",Languages!$A:$D,1,TRUE)="KM60",VLOOKUP("KM60",Languages!$A:$D,Summary!$C$7,TRUE),NA())</f>
        <v>Kybermittarin kypsyysraportti (R2)</v>
      </c>
      <c r="K18" s="1301"/>
      <c r="L18" s="378"/>
      <c r="M18" s="1300" t="str">
        <f>IF(VLOOKUP("KM60",Languages!$A:$D,1,TRUE)="KM60",VLOOKUP("KM60",Languages!$A:$D,Summary!$C$7,TRUE),NA())</f>
        <v>Kybermittarin kypsyysraportti (R2)</v>
      </c>
      <c r="N18" s="1301"/>
      <c r="O18" s="378"/>
      <c r="P18" s="277"/>
      <c r="Q18" s="278"/>
    </row>
    <row r="19" spans="1:21" ht="13.95" customHeight="1" x14ac:dyDescent="0.25">
      <c r="A19" s="169"/>
      <c r="B19" s="273"/>
      <c r="C19" s="928" t="s">
        <v>2270</v>
      </c>
      <c r="D19" s="933"/>
      <c r="E19" s="934"/>
      <c r="F19" s="1065"/>
      <c r="G19" s="1065"/>
      <c r="H19" s="934"/>
      <c r="I19" s="378"/>
      <c r="J19" s="264"/>
      <c r="K19" s="264"/>
      <c r="L19" s="378"/>
      <c r="M19" s="264"/>
      <c r="N19" s="264"/>
      <c r="O19" s="378"/>
      <c r="P19" s="277"/>
      <c r="Q19" s="278"/>
    </row>
    <row r="20" spans="1:21" ht="13.95" customHeight="1" thickBot="1" x14ac:dyDescent="0.3">
      <c r="A20" s="169"/>
      <c r="B20" s="273"/>
      <c r="C20" s="928" t="s">
        <v>2271</v>
      </c>
      <c r="D20" s="933"/>
      <c r="E20" s="934"/>
      <c r="F20" s="1065"/>
      <c r="G20" s="1065"/>
      <c r="H20" s="934"/>
      <c r="I20" s="378"/>
      <c r="J20" s="380" t="s">
        <v>1808</v>
      </c>
      <c r="K20" s="593" t="s">
        <v>1809</v>
      </c>
      <c r="L20" s="378"/>
      <c r="M20" s="380" t="s">
        <v>1808</v>
      </c>
      <c r="N20" s="593" t="s">
        <v>1809</v>
      </c>
      <c r="O20" s="378"/>
      <c r="P20" s="277"/>
      <c r="Q20" s="278"/>
    </row>
    <row r="21" spans="1:21" ht="13.95" customHeight="1" x14ac:dyDescent="0.25">
      <c r="A21" s="169"/>
      <c r="B21" s="273"/>
      <c r="C21" s="928" t="s">
        <v>2274</v>
      </c>
      <c r="D21" s="933"/>
      <c r="E21" s="934"/>
      <c r="F21" s="1065"/>
      <c r="G21" s="1065"/>
      <c r="H21" s="934"/>
      <c r="I21" s="378"/>
      <c r="J21" s="381" t="s">
        <v>57</v>
      </c>
      <c r="K21" s="387"/>
      <c r="L21" s="378"/>
      <c r="M21" s="381" t="s">
        <v>57</v>
      </c>
      <c r="N21" s="387"/>
      <c r="O21" s="378"/>
      <c r="P21" s="277"/>
      <c r="Q21" s="278"/>
    </row>
    <row r="22" spans="1:21" ht="13.95" customHeight="1" x14ac:dyDescent="0.25">
      <c r="A22" s="169"/>
      <c r="B22" s="273"/>
      <c r="C22" s="928" t="s">
        <v>2273</v>
      </c>
      <c r="D22" s="933"/>
      <c r="E22" s="934"/>
      <c r="F22" s="1065"/>
      <c r="G22" s="1065"/>
      <c r="H22" s="934"/>
      <c r="I22" s="378"/>
      <c r="J22" s="381" t="s">
        <v>48</v>
      </c>
      <c r="K22" s="386"/>
      <c r="L22" s="378"/>
      <c r="M22" s="381" t="s">
        <v>48</v>
      </c>
      <c r="N22" s="386"/>
      <c r="O22" s="378"/>
      <c r="P22" s="277"/>
      <c r="Q22" s="278"/>
    </row>
    <row r="23" spans="1:21" ht="13.95" customHeight="1" x14ac:dyDescent="0.25">
      <c r="A23" s="169"/>
      <c r="B23" s="273"/>
      <c r="C23" s="928" t="s">
        <v>2272</v>
      </c>
      <c r="D23" s="933"/>
      <c r="E23" s="934"/>
      <c r="F23" s="1065"/>
      <c r="G23" s="1065"/>
      <c r="H23" s="934"/>
      <c r="I23" s="378"/>
      <c r="J23" s="381" t="s">
        <v>66</v>
      </c>
      <c r="K23" s="388"/>
      <c r="L23" s="264"/>
      <c r="M23" s="381" t="s">
        <v>66</v>
      </c>
      <c r="N23" s="388"/>
      <c r="O23" s="264"/>
      <c r="P23" s="277"/>
      <c r="Q23" s="278"/>
    </row>
    <row r="24" spans="1:21" ht="13.95" customHeight="1" x14ac:dyDescent="0.25">
      <c r="A24" s="169"/>
      <c r="B24" s="273"/>
      <c r="C24" s="928" t="s">
        <v>61</v>
      </c>
      <c r="D24" s="934"/>
      <c r="E24" s="934"/>
      <c r="F24" s="934"/>
      <c r="G24" s="934"/>
      <c r="H24" s="934"/>
      <c r="I24" s="378"/>
      <c r="J24" s="381" t="s">
        <v>0</v>
      </c>
      <c r="K24" s="386"/>
      <c r="L24" s="264"/>
      <c r="M24" s="381" t="s">
        <v>0</v>
      </c>
      <c r="N24" s="386"/>
      <c r="O24" s="264"/>
      <c r="P24" s="277"/>
      <c r="Q24" s="278"/>
    </row>
    <row r="25" spans="1:21" ht="13.95" customHeight="1" x14ac:dyDescent="0.25">
      <c r="A25" s="169"/>
      <c r="B25" s="273"/>
      <c r="C25" s="928" t="s">
        <v>63</v>
      </c>
      <c r="D25" s="934"/>
      <c r="E25" s="934"/>
      <c r="F25" s="934"/>
      <c r="G25" s="934"/>
      <c r="H25" s="934"/>
      <c r="I25" s="378"/>
      <c r="J25" s="381" t="s">
        <v>61</v>
      </c>
      <c r="K25" s="388"/>
      <c r="L25" s="264"/>
      <c r="M25" s="381" t="s">
        <v>61</v>
      </c>
      <c r="N25" s="388"/>
      <c r="O25" s="714"/>
      <c r="P25" s="277"/>
      <c r="Q25" s="278"/>
    </row>
    <row r="26" spans="1:21" ht="13.95" customHeight="1" x14ac:dyDescent="0.25">
      <c r="A26" s="169"/>
      <c r="B26" s="273"/>
      <c r="C26" s="928" t="s">
        <v>65</v>
      </c>
      <c r="D26" s="934"/>
      <c r="E26" s="934"/>
      <c r="F26" s="934"/>
      <c r="G26" s="934"/>
      <c r="H26" s="934"/>
      <c r="I26" s="378"/>
      <c r="J26" s="381" t="s">
        <v>69</v>
      </c>
      <c r="K26" s="386"/>
      <c r="L26" s="264"/>
      <c r="M26" s="381" t="s">
        <v>69</v>
      </c>
      <c r="N26" s="386"/>
      <c r="O26" s="592"/>
      <c r="P26" s="277"/>
      <c r="Q26" s="278"/>
    </row>
    <row r="27" spans="1:21" ht="13.95" customHeight="1" x14ac:dyDescent="0.25">
      <c r="A27" s="169"/>
      <c r="B27" s="273"/>
      <c r="C27" s="928" t="s">
        <v>68</v>
      </c>
      <c r="D27" s="934"/>
      <c r="E27" s="934"/>
      <c r="F27" s="934"/>
      <c r="G27" s="934"/>
      <c r="H27" s="934"/>
      <c r="I27" s="378"/>
      <c r="J27" s="381" t="s">
        <v>71</v>
      </c>
      <c r="K27" s="388"/>
      <c r="L27" s="264"/>
      <c r="M27" s="381" t="s">
        <v>71</v>
      </c>
      <c r="N27" s="388"/>
      <c r="O27" s="264"/>
      <c r="P27" s="277"/>
      <c r="Q27" s="278"/>
    </row>
    <row r="28" spans="1:21" ht="13.95" customHeight="1" x14ac:dyDescent="0.25">
      <c r="A28" s="169"/>
      <c r="B28" s="273"/>
      <c r="C28" s="928" t="s">
        <v>1103</v>
      </c>
      <c r="D28" s="934"/>
      <c r="E28" s="934"/>
      <c r="F28" s="934"/>
      <c r="G28" s="934"/>
      <c r="H28" s="934"/>
      <c r="I28" s="378"/>
      <c r="J28" s="381" t="s">
        <v>1145</v>
      </c>
      <c r="K28" s="386"/>
      <c r="L28" s="264"/>
      <c r="M28" s="381" t="s">
        <v>1145</v>
      </c>
      <c r="N28" s="386"/>
      <c r="O28" s="378"/>
      <c r="P28" s="277"/>
      <c r="Q28" s="278"/>
    </row>
    <row r="29" spans="1:21" ht="13.95" customHeight="1" x14ac:dyDescent="0.25">
      <c r="A29" s="169"/>
      <c r="B29" s="273"/>
      <c r="C29" s="928" t="s">
        <v>80</v>
      </c>
      <c r="D29" s="934"/>
      <c r="E29" s="934"/>
      <c r="F29" s="934"/>
      <c r="G29" s="934"/>
      <c r="H29" s="934"/>
      <c r="I29" s="378"/>
      <c r="J29" s="381" t="s">
        <v>77</v>
      </c>
      <c r="K29" s="388"/>
      <c r="L29" s="264"/>
      <c r="M29" s="381" t="s">
        <v>77</v>
      </c>
      <c r="N29" s="388"/>
      <c r="O29" s="378"/>
      <c r="P29" s="277"/>
      <c r="Q29" s="278"/>
    </row>
    <row r="30" spans="1:21" ht="13.95" customHeight="1" x14ac:dyDescent="0.25">
      <c r="A30" s="169"/>
      <c r="B30" s="273"/>
      <c r="C30" s="928" t="s">
        <v>121</v>
      </c>
      <c r="D30" s="934"/>
      <c r="E30" s="934"/>
      <c r="F30" s="934"/>
      <c r="G30" s="934"/>
      <c r="H30" s="934"/>
      <c r="I30" s="378"/>
      <c r="J30" s="381" t="s">
        <v>80</v>
      </c>
      <c r="K30" s="386"/>
      <c r="L30" s="264"/>
      <c r="M30" s="381" t="s">
        <v>80</v>
      </c>
      <c r="N30" s="386"/>
      <c r="O30" s="379"/>
      <c r="P30" s="277"/>
      <c r="Q30" s="278"/>
    </row>
    <row r="31" spans="1:21" ht="13.95" customHeight="1" thickBot="1" x14ac:dyDescent="0.3">
      <c r="A31" s="169"/>
      <c r="B31" s="273"/>
      <c r="C31" s="928" t="s">
        <v>124</v>
      </c>
      <c r="D31" s="934"/>
      <c r="E31" s="935"/>
      <c r="F31" s="935"/>
      <c r="G31" s="935"/>
      <c r="H31" s="935"/>
      <c r="I31" s="378"/>
      <c r="J31" s="381" t="s">
        <v>82</v>
      </c>
      <c r="K31" s="389"/>
      <c r="L31" s="264"/>
      <c r="M31" s="381" t="s">
        <v>82</v>
      </c>
      <c r="N31" s="389"/>
      <c r="O31" s="379"/>
      <c r="P31" s="277"/>
      <c r="Q31" s="278"/>
    </row>
    <row r="32" spans="1:21" ht="13.95" customHeight="1" x14ac:dyDescent="0.25">
      <c r="A32" s="169"/>
      <c r="B32" s="273"/>
      <c r="C32" s="928" t="s">
        <v>127</v>
      </c>
      <c r="D32" s="934"/>
      <c r="E32" s="935"/>
      <c r="F32" s="935"/>
      <c r="G32" s="935"/>
      <c r="H32" s="935"/>
      <c r="I32" s="378"/>
      <c r="J32" s="264"/>
      <c r="K32" s="264"/>
      <c r="L32" s="264"/>
      <c r="M32" s="378"/>
      <c r="N32" s="378"/>
      <c r="O32" s="378"/>
      <c r="P32" s="277"/>
      <c r="Q32" s="278"/>
    </row>
    <row r="33" spans="1:17" ht="13.95" customHeight="1" x14ac:dyDescent="0.25">
      <c r="A33" s="169"/>
      <c r="B33" s="273"/>
      <c r="C33" s="928" t="s">
        <v>130</v>
      </c>
      <c r="D33" s="934"/>
      <c r="E33" s="935"/>
      <c r="F33" s="935"/>
      <c r="G33" s="935"/>
      <c r="H33" s="935"/>
      <c r="I33" s="378"/>
      <c r="J33" s="264"/>
      <c r="K33" s="264"/>
      <c r="L33" s="264"/>
      <c r="M33" s="378"/>
      <c r="N33" s="378"/>
      <c r="O33" s="378"/>
      <c r="P33" s="277"/>
      <c r="Q33" s="278"/>
    </row>
    <row r="34" spans="1:17" ht="13.95" customHeight="1" x14ac:dyDescent="0.25">
      <c r="A34" s="169"/>
      <c r="B34" s="273"/>
      <c r="C34" s="928" t="s">
        <v>133</v>
      </c>
      <c r="D34" s="934"/>
      <c r="E34" s="935"/>
      <c r="F34" s="935"/>
      <c r="G34" s="935"/>
      <c r="H34" s="935"/>
      <c r="I34" s="378"/>
      <c r="J34" s="264"/>
      <c r="K34" s="264"/>
      <c r="L34" s="264"/>
      <c r="M34" s="378"/>
      <c r="N34" s="378"/>
      <c r="O34" s="378"/>
      <c r="P34" s="277"/>
      <c r="Q34" s="278"/>
    </row>
    <row r="35" spans="1:17" ht="13.95" customHeight="1" x14ac:dyDescent="0.25">
      <c r="A35" s="169"/>
      <c r="B35" s="273"/>
      <c r="C35" s="928" t="s">
        <v>1114</v>
      </c>
      <c r="D35" s="934"/>
      <c r="E35" s="935"/>
      <c r="F35" s="935"/>
      <c r="G35" s="935"/>
      <c r="H35" s="935"/>
      <c r="I35" s="378"/>
      <c r="J35" s="264"/>
      <c r="K35" s="264"/>
      <c r="L35" s="264"/>
      <c r="M35" s="378"/>
      <c r="N35" s="378"/>
      <c r="O35" s="378"/>
      <c r="P35" s="277"/>
      <c r="Q35" s="278"/>
    </row>
    <row r="36" spans="1:17" ht="13.95" customHeight="1" x14ac:dyDescent="0.25">
      <c r="A36" s="169"/>
      <c r="B36" s="273"/>
      <c r="C36" s="928" t="s">
        <v>48</v>
      </c>
      <c r="D36" s="934"/>
      <c r="E36" s="935"/>
      <c r="F36" s="935"/>
      <c r="G36" s="935"/>
      <c r="H36" s="935"/>
      <c r="I36" s="378"/>
      <c r="J36" s="264"/>
      <c r="K36" s="264"/>
      <c r="L36" s="264"/>
      <c r="M36" s="378"/>
      <c r="N36" s="378"/>
      <c r="O36" s="378"/>
      <c r="P36" s="277"/>
      <c r="Q36" s="278"/>
    </row>
    <row r="37" spans="1:17" ht="13.95" customHeight="1" x14ac:dyDescent="0.25">
      <c r="A37" s="169"/>
      <c r="B37" s="273"/>
      <c r="C37" s="928" t="s">
        <v>50</v>
      </c>
      <c r="D37" s="934"/>
      <c r="E37" s="935"/>
      <c r="F37" s="935"/>
      <c r="G37" s="935"/>
      <c r="H37" s="935"/>
      <c r="I37" s="378"/>
      <c r="J37" s="264"/>
      <c r="K37" s="264"/>
      <c r="L37" s="264"/>
      <c r="M37" s="378"/>
      <c r="N37" s="378"/>
      <c r="O37" s="378"/>
      <c r="P37" s="277"/>
      <c r="Q37" s="278"/>
    </row>
    <row r="38" spans="1:17" ht="13.95" customHeight="1" x14ac:dyDescent="0.25">
      <c r="A38" s="169"/>
      <c r="B38" s="273"/>
      <c r="C38" s="928" t="s">
        <v>52</v>
      </c>
      <c r="D38" s="934"/>
      <c r="E38" s="935"/>
      <c r="F38" s="935"/>
      <c r="G38" s="935"/>
      <c r="H38" s="935"/>
      <c r="I38" s="378"/>
      <c r="J38" s="264"/>
      <c r="K38" s="264"/>
      <c r="L38" s="264"/>
      <c r="M38" s="378"/>
      <c r="N38" s="378"/>
      <c r="O38" s="378"/>
      <c r="P38" s="277"/>
      <c r="Q38" s="278"/>
    </row>
    <row r="39" spans="1:17" ht="13.95" customHeight="1" x14ac:dyDescent="0.25">
      <c r="A39" s="169"/>
      <c r="B39" s="273"/>
      <c r="C39" s="928" t="s">
        <v>54</v>
      </c>
      <c r="D39" s="934"/>
      <c r="E39" s="935"/>
      <c r="F39" s="935"/>
      <c r="G39" s="935"/>
      <c r="H39" s="935"/>
      <c r="I39" s="378"/>
      <c r="J39" s="264"/>
      <c r="K39" s="264"/>
      <c r="L39" s="264"/>
      <c r="M39" s="378"/>
      <c r="N39" s="378"/>
      <c r="O39" s="378"/>
      <c r="P39" s="277"/>
      <c r="Q39" s="278"/>
    </row>
    <row r="40" spans="1:17" ht="13.95" customHeight="1" x14ac:dyDescent="0.25">
      <c r="A40" s="169"/>
      <c r="B40" s="273"/>
      <c r="C40" s="928" t="s">
        <v>56</v>
      </c>
      <c r="D40" s="934"/>
      <c r="E40" s="935"/>
      <c r="F40" s="935"/>
      <c r="G40" s="935"/>
      <c r="H40" s="935"/>
      <c r="I40" s="378"/>
      <c r="J40" s="264"/>
      <c r="K40" s="264"/>
      <c r="L40" s="264"/>
      <c r="M40" s="378"/>
      <c r="N40" s="378"/>
      <c r="O40" s="378"/>
      <c r="P40" s="277"/>
      <c r="Q40" s="278"/>
    </row>
    <row r="41" spans="1:17" ht="13.95" customHeight="1" x14ac:dyDescent="0.25">
      <c r="A41" s="169"/>
      <c r="B41" s="273"/>
      <c r="C41" s="928" t="s">
        <v>59</v>
      </c>
      <c r="D41" s="934"/>
      <c r="E41" s="935"/>
      <c r="F41" s="935"/>
      <c r="G41" s="935"/>
      <c r="H41" s="935"/>
      <c r="I41" s="378"/>
      <c r="J41" s="264"/>
      <c r="K41" s="264"/>
      <c r="L41" s="264"/>
      <c r="M41" s="378"/>
      <c r="N41" s="378"/>
      <c r="O41" s="378"/>
      <c r="P41" s="277"/>
      <c r="Q41" s="278"/>
    </row>
    <row r="42" spans="1:17" ht="13.95" customHeight="1" x14ac:dyDescent="0.25">
      <c r="A42" s="169"/>
      <c r="B42" s="273"/>
      <c r="C42" s="928" t="s">
        <v>57</v>
      </c>
      <c r="D42" s="934"/>
      <c r="E42" s="935"/>
      <c r="F42" s="935"/>
      <c r="G42" s="935"/>
      <c r="H42" s="935"/>
      <c r="I42" s="378"/>
      <c r="J42" s="264"/>
      <c r="K42" s="264"/>
      <c r="L42" s="264"/>
      <c r="M42" s="264"/>
      <c r="N42" s="264"/>
      <c r="O42" s="264"/>
      <c r="P42" s="277"/>
      <c r="Q42" s="278"/>
    </row>
    <row r="43" spans="1:17" ht="13.95" customHeight="1" x14ac:dyDescent="0.25">
      <c r="A43" s="169"/>
      <c r="B43" s="273"/>
      <c r="C43" s="928" t="s">
        <v>154</v>
      </c>
      <c r="D43" s="934"/>
      <c r="E43" s="935"/>
      <c r="F43" s="935"/>
      <c r="G43" s="935"/>
      <c r="H43" s="935"/>
      <c r="I43" s="378"/>
      <c r="J43" s="264"/>
      <c r="K43" s="264"/>
      <c r="L43" s="264"/>
      <c r="M43" s="264"/>
      <c r="N43" s="264"/>
      <c r="O43" s="264"/>
      <c r="P43" s="277"/>
      <c r="Q43" s="278"/>
    </row>
    <row r="44" spans="1:17" ht="13.95" customHeight="1" x14ac:dyDescent="0.25">
      <c r="A44" s="169"/>
      <c r="B44" s="273"/>
      <c r="C44" s="928" t="s">
        <v>157</v>
      </c>
      <c r="D44" s="934"/>
      <c r="E44" s="935"/>
      <c r="F44" s="935"/>
      <c r="G44" s="935"/>
      <c r="H44" s="935"/>
      <c r="I44" s="378"/>
      <c r="J44" s="264"/>
      <c r="K44" s="264"/>
      <c r="L44" s="264"/>
      <c r="M44" s="264"/>
      <c r="N44" s="264"/>
      <c r="O44" s="264"/>
      <c r="P44" s="277"/>
      <c r="Q44" s="278"/>
    </row>
    <row r="45" spans="1:17" ht="13.95" customHeight="1" x14ac:dyDescent="0.25">
      <c r="A45" s="169"/>
      <c r="B45" s="273"/>
      <c r="C45" s="928" t="s">
        <v>159</v>
      </c>
      <c r="D45" s="934"/>
      <c r="E45" s="935"/>
      <c r="F45" s="935"/>
      <c r="G45" s="935"/>
      <c r="H45" s="935"/>
      <c r="I45" s="378"/>
      <c r="J45" s="264"/>
      <c r="K45" s="264"/>
      <c r="L45" s="264"/>
      <c r="M45" s="264"/>
      <c r="N45" s="264"/>
      <c r="O45" s="264"/>
      <c r="P45" s="277"/>
      <c r="Q45" s="278"/>
    </row>
    <row r="46" spans="1:17" ht="13.95" customHeight="1" x14ac:dyDescent="0.25">
      <c r="A46" s="169"/>
      <c r="B46" s="273"/>
      <c r="C46" s="928" t="s">
        <v>82</v>
      </c>
      <c r="D46" s="934"/>
      <c r="E46" s="935"/>
      <c r="F46" s="935"/>
      <c r="G46" s="935"/>
      <c r="H46" s="935"/>
      <c r="I46" s="378"/>
      <c r="J46" s="264"/>
      <c r="K46" s="264"/>
      <c r="L46" s="264"/>
      <c r="M46" s="264"/>
      <c r="N46" s="264"/>
      <c r="O46" s="264"/>
      <c r="P46" s="277"/>
      <c r="Q46" s="278"/>
    </row>
    <row r="47" spans="1:17" ht="13.95" customHeight="1" x14ac:dyDescent="0.25">
      <c r="A47" s="169"/>
      <c r="B47" s="273"/>
      <c r="C47" s="928" t="s">
        <v>138</v>
      </c>
      <c r="D47" s="934"/>
      <c r="E47" s="935"/>
      <c r="F47" s="935"/>
      <c r="G47" s="935"/>
      <c r="H47" s="935"/>
      <c r="I47" s="378"/>
      <c r="J47" s="264"/>
      <c r="K47" s="264"/>
      <c r="L47" s="264"/>
      <c r="M47" s="264"/>
      <c r="N47" s="264"/>
      <c r="O47" s="264"/>
      <c r="P47" s="277"/>
      <c r="Q47" s="278"/>
    </row>
    <row r="48" spans="1:17" ht="13.95" customHeight="1" x14ac:dyDescent="0.25">
      <c r="A48" s="169"/>
      <c r="B48" s="273"/>
      <c r="C48" s="928" t="s">
        <v>141</v>
      </c>
      <c r="D48" s="934"/>
      <c r="E48" s="935"/>
      <c r="F48" s="935"/>
      <c r="G48" s="935"/>
      <c r="H48" s="935"/>
      <c r="I48" s="378"/>
      <c r="J48" s="264"/>
      <c r="K48" s="264"/>
      <c r="L48" s="264"/>
      <c r="M48" s="264"/>
      <c r="N48" s="264"/>
      <c r="O48" s="264"/>
      <c r="P48" s="277"/>
      <c r="Q48" s="278"/>
    </row>
    <row r="49" spans="1:17" ht="13.95" customHeight="1" x14ac:dyDescent="0.25">
      <c r="A49" s="169"/>
      <c r="B49" s="273"/>
      <c r="C49" s="928" t="s">
        <v>144</v>
      </c>
      <c r="D49" s="934"/>
      <c r="E49" s="935"/>
      <c r="F49" s="935"/>
      <c r="G49" s="935"/>
      <c r="H49" s="935"/>
      <c r="I49" s="378"/>
      <c r="J49" s="264"/>
      <c r="K49" s="264"/>
      <c r="L49" s="264"/>
      <c r="M49" s="264"/>
      <c r="N49" s="264"/>
      <c r="O49" s="264"/>
      <c r="P49" s="277"/>
      <c r="Q49" s="278"/>
    </row>
    <row r="50" spans="1:17" ht="13.95" customHeight="1" x14ac:dyDescent="0.25">
      <c r="A50" s="169"/>
      <c r="B50" s="273"/>
      <c r="C50" s="928" t="s">
        <v>71</v>
      </c>
      <c r="D50" s="934"/>
      <c r="E50" s="935"/>
      <c r="F50" s="935"/>
      <c r="G50" s="935"/>
      <c r="H50" s="935"/>
      <c r="I50" s="378"/>
      <c r="J50" s="264"/>
      <c r="K50" s="264"/>
      <c r="L50" s="264"/>
      <c r="M50" s="264"/>
      <c r="N50" s="264"/>
      <c r="O50" s="264"/>
      <c r="P50" s="277"/>
      <c r="Q50" s="278"/>
    </row>
    <row r="51" spans="1:17" ht="13.95" customHeight="1" x14ac:dyDescent="0.25">
      <c r="A51" s="169"/>
      <c r="B51" s="273"/>
      <c r="C51" s="928" t="s">
        <v>93</v>
      </c>
      <c r="D51" s="934"/>
      <c r="E51" s="935"/>
      <c r="F51" s="935"/>
      <c r="G51" s="935"/>
      <c r="H51" s="935"/>
      <c r="I51" s="378"/>
      <c r="J51" s="264"/>
      <c r="K51" s="264"/>
      <c r="L51" s="264"/>
      <c r="M51" s="264"/>
      <c r="N51" s="264"/>
      <c r="O51" s="264"/>
      <c r="P51" s="277"/>
      <c r="Q51" s="278"/>
    </row>
    <row r="52" spans="1:17" ht="13.95" customHeight="1" x14ac:dyDescent="0.25">
      <c r="A52" s="169"/>
      <c r="B52" s="273"/>
      <c r="C52" s="928" t="s">
        <v>95</v>
      </c>
      <c r="D52" s="934"/>
      <c r="E52" s="935"/>
      <c r="F52" s="935"/>
      <c r="G52" s="935"/>
      <c r="H52" s="935"/>
      <c r="I52" s="378"/>
      <c r="J52" s="264"/>
      <c r="K52" s="264"/>
      <c r="L52" s="264"/>
      <c r="M52" s="264"/>
      <c r="N52" s="264"/>
      <c r="O52" s="264"/>
      <c r="P52" s="277"/>
      <c r="Q52" s="278"/>
    </row>
    <row r="53" spans="1:17" ht="13.95" customHeight="1" x14ac:dyDescent="0.25">
      <c r="A53" s="169"/>
      <c r="B53" s="273"/>
      <c r="C53" s="928" t="s">
        <v>97</v>
      </c>
      <c r="D53" s="934"/>
      <c r="E53" s="935"/>
      <c r="F53" s="935"/>
      <c r="G53" s="935"/>
      <c r="H53" s="935"/>
      <c r="I53" s="378"/>
      <c r="J53" s="264"/>
      <c r="K53" s="264"/>
      <c r="L53" s="264"/>
      <c r="M53" s="264"/>
      <c r="N53" s="264"/>
      <c r="O53" s="264"/>
      <c r="P53" s="277"/>
      <c r="Q53" s="278"/>
    </row>
    <row r="54" spans="1:17" ht="13.95" customHeight="1" x14ac:dyDescent="0.25">
      <c r="A54" s="169"/>
      <c r="B54" s="273"/>
      <c r="C54" s="928" t="s">
        <v>99</v>
      </c>
      <c r="D54" s="934"/>
      <c r="E54" s="935"/>
      <c r="F54" s="935"/>
      <c r="G54" s="935"/>
      <c r="H54" s="935"/>
      <c r="I54" s="378"/>
      <c r="J54" s="264"/>
      <c r="K54" s="264"/>
      <c r="L54" s="264"/>
      <c r="M54" s="264"/>
      <c r="N54" s="264"/>
      <c r="O54" s="264"/>
      <c r="P54" s="277"/>
      <c r="Q54" s="278"/>
    </row>
    <row r="55" spans="1:17" ht="13.95" customHeight="1" x14ac:dyDescent="0.25">
      <c r="A55" s="169"/>
      <c r="B55" s="273"/>
      <c r="C55" s="928" t="s">
        <v>1112</v>
      </c>
      <c r="D55" s="934"/>
      <c r="E55" s="935"/>
      <c r="F55" s="935"/>
      <c r="G55" s="935"/>
      <c r="H55" s="935"/>
      <c r="I55" s="378"/>
      <c r="J55" s="264"/>
      <c r="K55" s="264"/>
      <c r="L55" s="264"/>
      <c r="M55" s="264"/>
      <c r="N55" s="264"/>
      <c r="O55" s="264"/>
      <c r="P55" s="277"/>
      <c r="Q55" s="278"/>
    </row>
    <row r="56" spans="1:17" ht="13.95" customHeight="1" x14ac:dyDescent="0.25">
      <c r="A56" s="169"/>
      <c r="B56" s="273"/>
      <c r="C56" s="928" t="s">
        <v>0</v>
      </c>
      <c r="D56" s="934"/>
      <c r="E56" s="935"/>
      <c r="F56" s="935"/>
      <c r="G56" s="935"/>
      <c r="H56" s="935"/>
      <c r="I56" s="378"/>
      <c r="J56" s="264"/>
      <c r="K56" s="264"/>
      <c r="L56" s="264"/>
      <c r="M56" s="264"/>
      <c r="N56" s="264"/>
      <c r="O56" s="264"/>
      <c r="P56" s="277"/>
      <c r="Q56" s="278"/>
    </row>
    <row r="57" spans="1:17" ht="13.95" customHeight="1" x14ac:dyDescent="0.25">
      <c r="A57" s="169"/>
      <c r="B57" s="273"/>
      <c r="C57" s="928" t="s">
        <v>40</v>
      </c>
      <c r="D57" s="934"/>
      <c r="E57" s="935"/>
      <c r="F57" s="935"/>
      <c r="G57" s="935"/>
      <c r="H57" s="935"/>
      <c r="I57" s="378"/>
      <c r="J57" s="264"/>
      <c r="K57" s="264"/>
      <c r="L57" s="264"/>
      <c r="M57" s="264"/>
      <c r="N57" s="264"/>
      <c r="O57" s="264"/>
      <c r="P57" s="277"/>
      <c r="Q57" s="278"/>
    </row>
    <row r="58" spans="1:17" ht="13.95" customHeight="1" x14ac:dyDescent="0.25">
      <c r="A58" s="169"/>
      <c r="B58" s="273"/>
      <c r="C58" s="928" t="s">
        <v>44</v>
      </c>
      <c r="D58" s="934"/>
      <c r="E58" s="935"/>
      <c r="F58" s="935"/>
      <c r="G58" s="935"/>
      <c r="H58" s="935"/>
      <c r="I58" s="378"/>
      <c r="J58" s="264"/>
      <c r="K58" s="264"/>
      <c r="L58" s="264"/>
      <c r="M58" s="264"/>
      <c r="N58" s="264"/>
      <c r="O58" s="264"/>
      <c r="P58" s="277"/>
      <c r="Q58" s="278"/>
    </row>
    <row r="59" spans="1:17" ht="13.95" customHeight="1" x14ac:dyDescent="0.25">
      <c r="A59" s="169"/>
      <c r="B59" s="273"/>
      <c r="C59" s="928" t="s">
        <v>46</v>
      </c>
      <c r="D59" s="934"/>
      <c r="E59" s="935"/>
      <c r="F59" s="935"/>
      <c r="G59" s="935"/>
      <c r="H59" s="935"/>
      <c r="I59" s="378"/>
      <c r="J59" s="264"/>
      <c r="K59" s="264"/>
      <c r="L59" s="264"/>
      <c r="M59" s="264"/>
      <c r="N59" s="264"/>
      <c r="O59" s="264"/>
      <c r="P59" s="277"/>
      <c r="Q59" s="278"/>
    </row>
    <row r="60" spans="1:17" ht="13.95" customHeight="1" x14ac:dyDescent="0.25">
      <c r="A60" s="169"/>
      <c r="B60" s="273"/>
      <c r="C60" s="928" t="s">
        <v>1101</v>
      </c>
      <c r="D60" s="934"/>
      <c r="E60" s="935"/>
      <c r="F60" s="935"/>
      <c r="G60" s="935"/>
      <c r="H60" s="935"/>
      <c r="I60" s="378"/>
      <c r="J60" s="264"/>
      <c r="K60" s="264"/>
      <c r="L60" s="264"/>
      <c r="M60" s="264"/>
      <c r="N60" s="264"/>
      <c r="O60" s="264"/>
      <c r="P60" s="277"/>
      <c r="Q60" s="278"/>
    </row>
    <row r="61" spans="1:17" ht="13.95" customHeight="1" x14ac:dyDescent="0.25">
      <c r="A61" s="169"/>
      <c r="B61" s="273"/>
      <c r="C61" s="928" t="s">
        <v>1102</v>
      </c>
      <c r="D61" s="934"/>
      <c r="E61" s="935"/>
      <c r="F61" s="935"/>
      <c r="G61" s="935"/>
      <c r="H61" s="935"/>
      <c r="I61" s="378"/>
      <c r="J61" s="264"/>
      <c r="K61" s="264"/>
      <c r="L61" s="264"/>
      <c r="M61" s="264"/>
      <c r="N61" s="264"/>
      <c r="O61" s="264"/>
      <c r="P61" s="277"/>
      <c r="Q61" s="278"/>
    </row>
    <row r="62" spans="1:17" ht="13.95" customHeight="1" x14ac:dyDescent="0.25">
      <c r="A62" s="169"/>
      <c r="B62" s="273"/>
      <c r="C62" s="928" t="s">
        <v>69</v>
      </c>
      <c r="D62" s="934"/>
      <c r="E62" s="935"/>
      <c r="F62" s="935"/>
      <c r="G62" s="935"/>
      <c r="H62" s="935"/>
      <c r="I62" s="378"/>
      <c r="J62" s="264"/>
      <c r="K62" s="264"/>
      <c r="L62" s="264"/>
      <c r="M62" s="264"/>
      <c r="N62" s="264"/>
      <c r="O62" s="264"/>
      <c r="P62" s="277"/>
      <c r="Q62" s="278"/>
    </row>
    <row r="63" spans="1:17" ht="13.95" customHeight="1" x14ac:dyDescent="0.25">
      <c r="A63" s="169"/>
      <c r="B63" s="273"/>
      <c r="C63" s="928" t="s">
        <v>84</v>
      </c>
      <c r="D63" s="934"/>
      <c r="E63" s="935"/>
      <c r="F63" s="935"/>
      <c r="G63" s="935"/>
      <c r="H63" s="935"/>
      <c r="I63" s="378"/>
      <c r="J63" s="264"/>
      <c r="K63" s="264"/>
      <c r="L63" s="264"/>
      <c r="M63" s="264"/>
      <c r="N63" s="264"/>
      <c r="O63" s="264"/>
      <c r="P63" s="277"/>
      <c r="Q63" s="278"/>
    </row>
    <row r="64" spans="1:17" ht="13.95" customHeight="1" x14ac:dyDescent="0.25">
      <c r="A64" s="169"/>
      <c r="B64" s="273"/>
      <c r="C64" s="928" t="s">
        <v>86</v>
      </c>
      <c r="D64" s="934"/>
      <c r="E64" s="935"/>
      <c r="F64" s="935"/>
      <c r="G64" s="935"/>
      <c r="H64" s="935"/>
      <c r="I64" s="378"/>
      <c r="J64" s="264"/>
      <c r="K64" s="264"/>
      <c r="L64" s="264"/>
      <c r="M64" s="264"/>
      <c r="N64" s="264"/>
      <c r="O64" s="264"/>
      <c r="P64" s="277"/>
      <c r="Q64" s="278"/>
    </row>
    <row r="65" spans="1:17" ht="13.95" customHeight="1" x14ac:dyDescent="0.25">
      <c r="A65" s="169"/>
      <c r="B65" s="273"/>
      <c r="C65" s="928" t="s">
        <v>88</v>
      </c>
      <c r="D65" s="934"/>
      <c r="E65" s="935"/>
      <c r="F65" s="935"/>
      <c r="G65" s="935"/>
      <c r="H65" s="935"/>
      <c r="I65" s="378"/>
      <c r="J65" s="264"/>
      <c r="K65" s="264"/>
      <c r="L65" s="264"/>
      <c r="M65" s="264"/>
      <c r="N65" s="264"/>
      <c r="O65" s="264"/>
      <c r="P65" s="277"/>
      <c r="Q65" s="278"/>
    </row>
    <row r="66" spans="1:17" ht="13.95" customHeight="1" x14ac:dyDescent="0.25">
      <c r="A66" s="169"/>
      <c r="B66" s="273"/>
      <c r="C66" s="928" t="s">
        <v>90</v>
      </c>
      <c r="D66" s="934"/>
      <c r="E66" s="935"/>
      <c r="F66" s="935"/>
      <c r="G66" s="935"/>
      <c r="H66" s="935"/>
      <c r="I66" s="378"/>
      <c r="J66" s="264"/>
      <c r="K66" s="264"/>
      <c r="L66" s="264"/>
      <c r="M66" s="264"/>
      <c r="N66" s="264"/>
      <c r="O66" s="264"/>
      <c r="P66" s="277"/>
      <c r="Q66" s="278"/>
    </row>
    <row r="67" spans="1:17" ht="13.95" customHeight="1" x14ac:dyDescent="0.25">
      <c r="A67" s="169"/>
      <c r="B67" s="273"/>
      <c r="C67" s="928" t="s">
        <v>1145</v>
      </c>
      <c r="D67" s="934"/>
      <c r="E67" s="935"/>
      <c r="F67" s="935"/>
      <c r="G67" s="935"/>
      <c r="H67" s="935"/>
      <c r="I67" s="378"/>
      <c r="J67" s="264"/>
      <c r="K67" s="264"/>
      <c r="L67" s="264"/>
      <c r="M67" s="264"/>
      <c r="N67" s="264"/>
      <c r="O67" s="264"/>
      <c r="P67" s="277"/>
      <c r="Q67" s="278"/>
    </row>
    <row r="68" spans="1:17" ht="13.95" customHeight="1" x14ac:dyDescent="0.25">
      <c r="A68" s="169"/>
      <c r="B68" s="273"/>
      <c r="C68" s="928" t="s">
        <v>1121</v>
      </c>
      <c r="D68" s="934"/>
      <c r="E68" s="935"/>
      <c r="F68" s="935"/>
      <c r="G68" s="935"/>
      <c r="H68" s="935"/>
      <c r="I68" s="378"/>
      <c r="J68" s="264"/>
      <c r="K68" s="264"/>
      <c r="L68" s="264"/>
      <c r="M68" s="264"/>
      <c r="N68" s="264"/>
      <c r="O68" s="264"/>
      <c r="P68" s="277"/>
      <c r="Q68" s="278"/>
    </row>
    <row r="69" spans="1:17" ht="13.95" customHeight="1" x14ac:dyDescent="0.25">
      <c r="A69" s="169"/>
      <c r="B69" s="273"/>
      <c r="C69" s="928" t="s">
        <v>1127</v>
      </c>
      <c r="D69" s="934"/>
      <c r="E69" s="935"/>
      <c r="F69" s="935"/>
      <c r="G69" s="935"/>
      <c r="H69" s="935"/>
      <c r="I69" s="378"/>
      <c r="J69" s="264"/>
      <c r="K69" s="264"/>
      <c r="L69" s="264"/>
      <c r="M69" s="264"/>
      <c r="N69" s="264"/>
      <c r="O69" s="264"/>
      <c r="P69" s="277"/>
      <c r="Q69" s="278"/>
    </row>
    <row r="70" spans="1:17" ht="13.95" customHeight="1" x14ac:dyDescent="0.25">
      <c r="A70" s="169"/>
      <c r="B70" s="273"/>
      <c r="C70" s="928" t="s">
        <v>1146</v>
      </c>
      <c r="D70" s="934"/>
      <c r="E70" s="935"/>
      <c r="F70" s="935"/>
      <c r="G70" s="935"/>
      <c r="H70" s="935"/>
      <c r="I70" s="378"/>
      <c r="J70" s="264"/>
      <c r="K70" s="264"/>
      <c r="L70" s="264"/>
      <c r="M70" s="264"/>
      <c r="N70" s="264"/>
      <c r="O70" s="264"/>
      <c r="P70" s="277"/>
      <c r="Q70" s="278"/>
    </row>
    <row r="71" spans="1:17" ht="13.95" customHeight="1" x14ac:dyDescent="0.25">
      <c r="A71" s="169"/>
      <c r="B71" s="273"/>
      <c r="C71" s="928" t="s">
        <v>66</v>
      </c>
      <c r="D71" s="934"/>
      <c r="E71" s="935"/>
      <c r="F71" s="935"/>
      <c r="G71" s="935"/>
      <c r="H71" s="935"/>
      <c r="I71" s="378"/>
      <c r="J71" s="264"/>
      <c r="K71" s="264"/>
      <c r="L71" s="264"/>
      <c r="M71" s="264"/>
      <c r="N71" s="264"/>
      <c r="O71" s="264"/>
      <c r="P71" s="277"/>
      <c r="Q71" s="278"/>
    </row>
    <row r="72" spans="1:17" ht="13.95" customHeight="1" x14ac:dyDescent="0.25">
      <c r="A72" s="169"/>
      <c r="B72" s="273"/>
      <c r="C72" s="928" t="s">
        <v>73</v>
      </c>
      <c r="D72" s="934"/>
      <c r="E72" s="935"/>
      <c r="F72" s="935"/>
      <c r="G72" s="935"/>
      <c r="H72" s="935"/>
      <c r="I72" s="378"/>
      <c r="J72" s="264"/>
      <c r="K72" s="264"/>
      <c r="L72" s="264"/>
      <c r="M72" s="264"/>
      <c r="N72" s="264"/>
      <c r="O72" s="264"/>
      <c r="P72" s="277"/>
      <c r="Q72" s="278"/>
    </row>
    <row r="73" spans="1:17" ht="13.95" customHeight="1" x14ac:dyDescent="0.25">
      <c r="A73" s="169"/>
      <c r="B73" s="273"/>
      <c r="C73" s="928" t="s">
        <v>76</v>
      </c>
      <c r="D73" s="934"/>
      <c r="E73" s="935"/>
      <c r="F73" s="935"/>
      <c r="G73" s="935"/>
      <c r="H73" s="935"/>
      <c r="I73" s="378"/>
      <c r="J73" s="264"/>
      <c r="K73" s="264"/>
      <c r="L73" s="264"/>
      <c r="M73" s="264"/>
      <c r="N73" s="264"/>
      <c r="O73" s="264"/>
      <c r="P73" s="277"/>
      <c r="Q73" s="278"/>
    </row>
    <row r="74" spans="1:17" ht="13.95" customHeight="1" x14ac:dyDescent="0.25">
      <c r="A74" s="169"/>
      <c r="B74" s="273"/>
      <c r="C74" s="928" t="s">
        <v>79</v>
      </c>
      <c r="D74" s="934"/>
      <c r="E74" s="935"/>
      <c r="F74" s="935"/>
      <c r="G74" s="935"/>
      <c r="H74" s="935"/>
      <c r="I74" s="378"/>
      <c r="J74" s="264"/>
      <c r="K74" s="264"/>
      <c r="L74" s="264"/>
      <c r="M74" s="264"/>
      <c r="N74" s="264"/>
      <c r="O74" s="264"/>
      <c r="P74" s="277"/>
      <c r="Q74" s="278"/>
    </row>
    <row r="75" spans="1:17" ht="13.95" customHeight="1" x14ac:dyDescent="0.25">
      <c r="A75" s="169"/>
      <c r="B75" s="273"/>
      <c r="C75" s="928" t="s">
        <v>77</v>
      </c>
      <c r="D75" s="934"/>
      <c r="E75" s="935"/>
      <c r="F75" s="935"/>
      <c r="G75" s="935"/>
      <c r="H75" s="935"/>
      <c r="I75" s="378"/>
      <c r="J75" s="264"/>
      <c r="K75" s="264"/>
      <c r="L75" s="264"/>
      <c r="M75" s="264"/>
      <c r="N75" s="264"/>
      <c r="O75" s="264"/>
      <c r="P75" s="277"/>
      <c r="Q75" s="278"/>
    </row>
    <row r="76" spans="1:17" ht="13.95" customHeight="1" x14ac:dyDescent="0.25">
      <c r="A76" s="169"/>
      <c r="B76" s="273"/>
      <c r="C76" s="928" t="s">
        <v>110</v>
      </c>
      <c r="D76" s="934"/>
      <c r="E76" s="935"/>
      <c r="F76" s="935"/>
      <c r="G76" s="935"/>
      <c r="H76" s="935"/>
      <c r="I76" s="378"/>
      <c r="J76" s="264"/>
      <c r="K76" s="264"/>
      <c r="L76" s="264"/>
      <c r="M76" s="264"/>
      <c r="N76" s="264"/>
      <c r="O76" s="264"/>
      <c r="P76" s="277"/>
      <c r="Q76" s="278"/>
    </row>
    <row r="77" spans="1:17" ht="13.95" customHeight="1" x14ac:dyDescent="0.25">
      <c r="A77" s="169"/>
      <c r="B77" s="273"/>
      <c r="C77" s="928" t="s">
        <v>112</v>
      </c>
      <c r="D77" s="934"/>
      <c r="E77" s="935"/>
      <c r="F77" s="935"/>
      <c r="G77" s="935"/>
      <c r="H77" s="935"/>
      <c r="I77" s="378"/>
      <c r="J77" s="264"/>
      <c r="K77" s="264"/>
      <c r="L77" s="264"/>
      <c r="M77" s="264"/>
      <c r="N77" s="264"/>
      <c r="O77" s="264"/>
      <c r="P77" s="277"/>
      <c r="Q77" s="278"/>
    </row>
    <row r="78" spans="1:17" ht="13.95" customHeight="1" x14ac:dyDescent="0.25">
      <c r="A78" s="169"/>
      <c r="B78" s="273"/>
      <c r="C78" s="928" t="s">
        <v>114</v>
      </c>
      <c r="D78" s="934"/>
      <c r="E78" s="935"/>
      <c r="F78" s="935"/>
      <c r="G78" s="935"/>
      <c r="H78" s="935"/>
      <c r="I78" s="378"/>
      <c r="J78" s="264"/>
      <c r="K78" s="264"/>
      <c r="L78" s="264"/>
      <c r="M78" s="264"/>
      <c r="N78" s="264"/>
      <c r="O78" s="264"/>
      <c r="P78" s="277"/>
      <c r="Q78" s="278"/>
    </row>
    <row r="79" spans="1:17" ht="13.95" customHeight="1" x14ac:dyDescent="0.25">
      <c r="A79" s="169"/>
      <c r="B79" s="273"/>
      <c r="C79" s="928" t="s">
        <v>116</v>
      </c>
      <c r="D79" s="934"/>
      <c r="E79" s="935"/>
      <c r="F79" s="935"/>
      <c r="G79" s="935"/>
      <c r="H79" s="935"/>
      <c r="I79" s="378"/>
      <c r="J79" s="264"/>
      <c r="K79" s="264"/>
      <c r="L79" s="264"/>
      <c r="M79" s="264"/>
      <c r="N79" s="264"/>
      <c r="O79" s="264"/>
      <c r="P79" s="277"/>
      <c r="Q79" s="278"/>
    </row>
    <row r="80" spans="1:17" ht="13.95" customHeight="1" x14ac:dyDescent="0.25">
      <c r="A80" s="169"/>
      <c r="B80" s="273"/>
      <c r="C80" s="928" t="s">
        <v>118</v>
      </c>
      <c r="D80" s="934"/>
      <c r="E80" s="935"/>
      <c r="F80" s="935"/>
      <c r="G80" s="935"/>
      <c r="H80" s="935"/>
      <c r="I80" s="378"/>
      <c r="J80" s="264"/>
      <c r="K80" s="264"/>
      <c r="L80" s="264"/>
      <c r="M80" s="264"/>
      <c r="N80" s="264"/>
      <c r="O80" s="264"/>
      <c r="P80" s="277"/>
      <c r="Q80" s="278"/>
    </row>
    <row r="81" spans="1:17" ht="13.95" customHeight="1" x14ac:dyDescent="0.25">
      <c r="A81" s="169"/>
      <c r="B81" s="273"/>
      <c r="C81" s="381" t="s">
        <v>158</v>
      </c>
      <c r="D81" s="936"/>
      <c r="E81" s="937"/>
      <c r="F81" s="937"/>
      <c r="G81" s="937"/>
      <c r="H81" s="937"/>
      <c r="I81" s="378"/>
      <c r="J81" s="264"/>
      <c r="K81" s="264"/>
      <c r="L81" s="264"/>
      <c r="M81" s="264"/>
      <c r="N81" s="264"/>
      <c r="O81" s="264"/>
      <c r="P81" s="277"/>
      <c r="Q81" s="278"/>
    </row>
    <row r="82" spans="1:17" ht="13.95" customHeight="1" x14ac:dyDescent="0.25">
      <c r="A82" s="169"/>
      <c r="B82" s="273"/>
      <c r="C82" s="381" t="s">
        <v>160</v>
      </c>
      <c r="D82" s="936"/>
      <c r="E82" s="937"/>
      <c r="F82" s="937"/>
      <c r="G82" s="937"/>
      <c r="H82" s="937"/>
      <c r="I82" s="378"/>
      <c r="J82" s="264"/>
      <c r="K82" s="264"/>
      <c r="L82" s="264"/>
      <c r="M82" s="264"/>
      <c r="N82" s="264"/>
      <c r="O82" s="264"/>
      <c r="P82" s="277"/>
      <c r="Q82" s="278"/>
    </row>
    <row r="83" spans="1:17" ht="13.95" customHeight="1" x14ac:dyDescent="0.25">
      <c r="A83" s="169"/>
      <c r="B83" s="273"/>
      <c r="C83" s="381" t="s">
        <v>161</v>
      </c>
      <c r="D83" s="936"/>
      <c r="E83" s="937"/>
      <c r="F83" s="937"/>
      <c r="G83" s="937"/>
      <c r="H83" s="937"/>
      <c r="I83" s="378"/>
      <c r="J83" s="264"/>
      <c r="K83" s="264"/>
      <c r="L83" s="264"/>
      <c r="M83" s="264"/>
      <c r="N83" s="264"/>
      <c r="O83" s="264"/>
      <c r="P83" s="277"/>
      <c r="Q83" s="278"/>
    </row>
    <row r="84" spans="1:17" ht="13.95" customHeight="1" x14ac:dyDescent="0.25">
      <c r="A84" s="169"/>
      <c r="B84" s="273"/>
      <c r="C84" s="381" t="s">
        <v>162</v>
      </c>
      <c r="D84" s="936"/>
      <c r="E84" s="937"/>
      <c r="F84" s="937"/>
      <c r="G84" s="937"/>
      <c r="H84" s="937"/>
      <c r="I84" s="378"/>
      <c r="J84" s="264"/>
      <c r="K84" s="264"/>
      <c r="L84" s="264"/>
      <c r="M84" s="264"/>
      <c r="N84" s="264"/>
      <c r="O84" s="264"/>
      <c r="P84" s="277"/>
      <c r="Q84" s="278"/>
    </row>
    <row r="85" spans="1:17" ht="13.95" customHeight="1" x14ac:dyDescent="0.25">
      <c r="A85" s="169"/>
      <c r="B85" s="273"/>
      <c r="C85" s="381" t="s">
        <v>163</v>
      </c>
      <c r="D85" s="936"/>
      <c r="E85" s="937"/>
      <c r="F85" s="937"/>
      <c r="G85" s="937"/>
      <c r="H85" s="937"/>
      <c r="I85" s="378"/>
      <c r="J85" s="264"/>
      <c r="K85" s="264"/>
      <c r="L85" s="264"/>
      <c r="M85" s="264"/>
      <c r="N85" s="264"/>
      <c r="O85" s="264"/>
      <c r="P85" s="277"/>
      <c r="Q85" s="278"/>
    </row>
    <row r="86" spans="1:17" ht="13.95" customHeight="1" x14ac:dyDescent="0.25">
      <c r="A86" s="169"/>
      <c r="B86" s="273"/>
      <c r="C86" s="381" t="s">
        <v>164</v>
      </c>
      <c r="D86" s="936"/>
      <c r="E86" s="937"/>
      <c r="F86" s="937"/>
      <c r="G86" s="937"/>
      <c r="H86" s="937"/>
      <c r="I86" s="378"/>
      <c r="J86" s="264"/>
      <c r="K86" s="264"/>
      <c r="L86" s="264"/>
      <c r="M86" s="264"/>
      <c r="N86" s="264"/>
      <c r="O86" s="264"/>
      <c r="P86" s="277"/>
      <c r="Q86" s="278"/>
    </row>
    <row r="87" spans="1:17" ht="13.95" customHeight="1" x14ac:dyDescent="0.25">
      <c r="A87" s="169"/>
      <c r="B87" s="273"/>
      <c r="C87" s="381" t="s">
        <v>166</v>
      </c>
      <c r="D87" s="936"/>
      <c r="E87" s="937"/>
      <c r="F87" s="937"/>
      <c r="G87" s="937"/>
      <c r="H87" s="937"/>
      <c r="I87" s="378"/>
      <c r="J87" s="264"/>
      <c r="K87" s="264"/>
      <c r="L87" s="264"/>
      <c r="M87" s="264"/>
      <c r="N87" s="264"/>
      <c r="O87" s="264"/>
      <c r="P87" s="277"/>
      <c r="Q87" s="278"/>
    </row>
    <row r="88" spans="1:17" ht="13.95" customHeight="1" x14ac:dyDescent="0.25">
      <c r="A88" s="169"/>
      <c r="B88" s="273"/>
      <c r="C88" s="381" t="s">
        <v>167</v>
      </c>
      <c r="D88" s="936"/>
      <c r="E88" s="937"/>
      <c r="F88" s="937"/>
      <c r="G88" s="937"/>
      <c r="H88" s="937"/>
      <c r="I88" s="378"/>
      <c r="J88" s="264"/>
      <c r="K88" s="264"/>
      <c r="L88" s="264"/>
      <c r="M88" s="264"/>
      <c r="N88" s="264"/>
      <c r="O88" s="264"/>
      <c r="P88" s="277"/>
      <c r="Q88" s="278"/>
    </row>
    <row r="89" spans="1:17" ht="13.95" customHeight="1" x14ac:dyDescent="0.25">
      <c r="A89" s="169"/>
      <c r="B89" s="273"/>
      <c r="C89" s="381" t="s">
        <v>168</v>
      </c>
      <c r="D89" s="936"/>
      <c r="E89" s="937"/>
      <c r="F89" s="937"/>
      <c r="G89" s="937"/>
      <c r="H89" s="937"/>
      <c r="I89" s="378"/>
      <c r="J89" s="264"/>
      <c r="K89" s="264"/>
      <c r="L89" s="264"/>
      <c r="M89" s="264"/>
      <c r="N89" s="264"/>
      <c r="O89" s="264"/>
      <c r="P89" s="277"/>
      <c r="Q89" s="278"/>
    </row>
    <row r="90" spans="1:17" ht="13.95" customHeight="1" x14ac:dyDescent="0.25">
      <c r="A90" s="169"/>
      <c r="B90" s="273"/>
      <c r="C90" s="381" t="s">
        <v>169</v>
      </c>
      <c r="D90" s="936"/>
      <c r="E90" s="937"/>
      <c r="F90" s="937"/>
      <c r="G90" s="937"/>
      <c r="H90" s="937"/>
      <c r="I90" s="378"/>
      <c r="J90" s="264"/>
      <c r="K90" s="264"/>
      <c r="L90" s="264"/>
      <c r="M90" s="264"/>
      <c r="N90" s="264"/>
      <c r="O90" s="264"/>
      <c r="P90" s="277"/>
      <c r="Q90" s="278"/>
    </row>
    <row r="91" spans="1:17" ht="13.95" customHeight="1" x14ac:dyDescent="0.25">
      <c r="A91" s="169"/>
      <c r="B91" s="273"/>
      <c r="C91" s="381" t="s">
        <v>170</v>
      </c>
      <c r="D91" s="936"/>
      <c r="E91" s="937"/>
      <c r="F91" s="937"/>
      <c r="G91" s="937"/>
      <c r="H91" s="937"/>
      <c r="I91" s="378"/>
      <c r="J91" s="264"/>
      <c r="K91" s="264"/>
      <c r="L91" s="264"/>
      <c r="M91" s="264"/>
      <c r="N91" s="264"/>
      <c r="O91" s="264"/>
      <c r="P91" s="277"/>
      <c r="Q91" s="278"/>
    </row>
    <row r="92" spans="1:17" ht="13.95" customHeight="1" x14ac:dyDescent="0.25">
      <c r="A92" s="169"/>
      <c r="B92" s="273"/>
      <c r="C92" s="381" t="s">
        <v>171</v>
      </c>
      <c r="D92" s="936"/>
      <c r="E92" s="937"/>
      <c r="F92" s="937"/>
      <c r="G92" s="937"/>
      <c r="H92" s="937"/>
      <c r="I92" s="378"/>
      <c r="J92" s="264"/>
      <c r="K92" s="264"/>
      <c r="L92" s="264"/>
      <c r="M92" s="264"/>
      <c r="N92" s="264"/>
      <c r="O92" s="264"/>
      <c r="P92" s="277"/>
      <c r="Q92" s="278"/>
    </row>
    <row r="93" spans="1:17" ht="13.95" customHeight="1" x14ac:dyDescent="0.25">
      <c r="A93" s="169"/>
      <c r="B93" s="273"/>
      <c r="C93" s="381" t="s">
        <v>172</v>
      </c>
      <c r="D93" s="936"/>
      <c r="E93" s="937"/>
      <c r="F93" s="937"/>
      <c r="G93" s="937"/>
      <c r="H93" s="937"/>
      <c r="I93" s="378"/>
      <c r="J93" s="264"/>
      <c r="K93" s="264"/>
      <c r="L93" s="264"/>
      <c r="M93" s="264"/>
      <c r="N93" s="264"/>
      <c r="O93" s="264"/>
      <c r="P93" s="277"/>
      <c r="Q93" s="278"/>
    </row>
    <row r="94" spans="1:17" ht="13.95" customHeight="1" x14ac:dyDescent="0.25">
      <c r="A94" s="169"/>
      <c r="B94" s="273"/>
      <c r="C94" s="381" t="s">
        <v>174</v>
      </c>
      <c r="D94" s="936"/>
      <c r="E94" s="937"/>
      <c r="F94" s="937"/>
      <c r="G94" s="937"/>
      <c r="H94" s="937"/>
      <c r="I94" s="378"/>
      <c r="J94" s="264"/>
      <c r="K94" s="264"/>
      <c r="L94" s="264"/>
      <c r="M94" s="264"/>
      <c r="N94" s="264"/>
      <c r="O94" s="264"/>
      <c r="P94" s="277"/>
      <c r="Q94" s="278"/>
    </row>
    <row r="95" spans="1:17" ht="13.95" customHeight="1" x14ac:dyDescent="0.25">
      <c r="A95" s="169"/>
      <c r="B95" s="273"/>
      <c r="C95" s="381" t="s">
        <v>1050</v>
      </c>
      <c r="D95" s="936"/>
      <c r="E95" s="937"/>
      <c r="F95" s="937"/>
      <c r="G95" s="937"/>
      <c r="H95" s="937"/>
      <c r="I95" s="378"/>
      <c r="J95" s="264"/>
      <c r="K95" s="264"/>
      <c r="L95" s="264"/>
      <c r="M95" s="264"/>
      <c r="N95" s="264"/>
      <c r="O95" s="264"/>
      <c r="P95" s="277"/>
      <c r="Q95" s="278"/>
    </row>
    <row r="96" spans="1:17" ht="13.95" customHeight="1" x14ac:dyDescent="0.25">
      <c r="A96" s="169"/>
      <c r="B96" s="273"/>
      <c r="C96" s="381" t="s">
        <v>176</v>
      </c>
      <c r="D96" s="936"/>
      <c r="E96" s="937"/>
      <c r="F96" s="937"/>
      <c r="G96" s="937"/>
      <c r="H96" s="937"/>
      <c r="I96" s="378"/>
      <c r="J96" s="264"/>
      <c r="K96" s="264"/>
      <c r="L96" s="264"/>
      <c r="M96" s="264"/>
      <c r="N96" s="264"/>
      <c r="O96" s="264"/>
      <c r="P96" s="277"/>
      <c r="Q96" s="278"/>
    </row>
    <row r="97" spans="1:17" ht="13.95" customHeight="1" x14ac:dyDescent="0.25">
      <c r="A97" s="169"/>
      <c r="B97" s="273"/>
      <c r="C97" s="381" t="s">
        <v>177</v>
      </c>
      <c r="D97" s="936"/>
      <c r="E97" s="937"/>
      <c r="F97" s="937"/>
      <c r="G97" s="937"/>
      <c r="H97" s="937"/>
      <c r="I97" s="378"/>
      <c r="J97" s="264"/>
      <c r="K97" s="264"/>
      <c r="L97" s="264"/>
      <c r="M97" s="264"/>
      <c r="N97" s="264"/>
      <c r="O97" s="264"/>
      <c r="P97" s="277"/>
      <c r="Q97" s="278"/>
    </row>
    <row r="98" spans="1:17" ht="13.95" customHeight="1" x14ac:dyDescent="0.25">
      <c r="A98" s="169"/>
      <c r="B98" s="273"/>
      <c r="C98" s="381" t="s">
        <v>178</v>
      </c>
      <c r="D98" s="936"/>
      <c r="E98" s="937"/>
      <c r="F98" s="937"/>
      <c r="G98" s="937"/>
      <c r="H98" s="937"/>
      <c r="I98" s="378"/>
      <c r="J98" s="264"/>
      <c r="K98" s="264"/>
      <c r="L98" s="264"/>
      <c r="M98" s="264"/>
      <c r="N98" s="264"/>
      <c r="O98" s="264"/>
      <c r="P98" s="277"/>
      <c r="Q98" s="278"/>
    </row>
    <row r="99" spans="1:17" ht="13.95" customHeight="1" x14ac:dyDescent="0.25">
      <c r="A99" s="169"/>
      <c r="B99" s="273"/>
      <c r="C99" s="381" t="s">
        <v>179</v>
      </c>
      <c r="D99" s="936"/>
      <c r="E99" s="937"/>
      <c r="F99" s="937"/>
      <c r="G99" s="937"/>
      <c r="H99" s="937"/>
      <c r="I99" s="378"/>
      <c r="J99" s="264"/>
      <c r="K99" s="264"/>
      <c r="L99" s="264"/>
      <c r="M99" s="264"/>
      <c r="N99" s="264"/>
      <c r="O99" s="264"/>
      <c r="P99" s="277"/>
      <c r="Q99" s="278"/>
    </row>
    <row r="100" spans="1:17" ht="13.95" customHeight="1" x14ac:dyDescent="0.25">
      <c r="A100" s="169"/>
      <c r="B100" s="273"/>
      <c r="C100" s="381" t="s">
        <v>180</v>
      </c>
      <c r="D100" s="936"/>
      <c r="E100" s="937"/>
      <c r="F100" s="937"/>
      <c r="G100" s="937"/>
      <c r="H100" s="937"/>
      <c r="I100" s="378"/>
      <c r="J100" s="264"/>
      <c r="K100" s="264"/>
      <c r="L100" s="264"/>
      <c r="M100" s="264"/>
      <c r="N100" s="264"/>
      <c r="O100" s="264"/>
      <c r="P100" s="277"/>
      <c r="Q100" s="278"/>
    </row>
    <row r="101" spans="1:17" ht="13.95" customHeight="1" x14ac:dyDescent="0.25">
      <c r="A101" s="169"/>
      <c r="B101" s="273"/>
      <c r="C101" s="381" t="s">
        <v>181</v>
      </c>
      <c r="D101" s="936"/>
      <c r="E101" s="937"/>
      <c r="F101" s="937"/>
      <c r="G101" s="937"/>
      <c r="H101" s="937"/>
      <c r="I101" s="378"/>
      <c r="J101" s="264"/>
      <c r="K101" s="264"/>
      <c r="L101" s="264"/>
      <c r="M101" s="264"/>
      <c r="N101" s="264"/>
      <c r="O101" s="264"/>
      <c r="P101" s="277"/>
      <c r="Q101" s="278"/>
    </row>
    <row r="102" spans="1:17" ht="13.95" customHeight="1" x14ac:dyDescent="0.25">
      <c r="A102" s="169"/>
      <c r="B102" s="273"/>
      <c r="C102" s="381" t="s">
        <v>182</v>
      </c>
      <c r="D102" s="936"/>
      <c r="E102" s="937"/>
      <c r="F102" s="937"/>
      <c r="G102" s="937"/>
      <c r="H102" s="937"/>
      <c r="I102" s="378"/>
      <c r="J102" s="264"/>
      <c r="K102" s="264"/>
      <c r="L102" s="264"/>
      <c r="M102" s="264"/>
      <c r="N102" s="264"/>
      <c r="O102" s="264"/>
      <c r="P102" s="277"/>
      <c r="Q102" s="278"/>
    </row>
    <row r="103" spans="1:17" ht="13.95" customHeight="1" x14ac:dyDescent="0.25">
      <c r="A103" s="169"/>
      <c r="B103" s="273"/>
      <c r="C103" s="381" t="s">
        <v>1051</v>
      </c>
      <c r="D103" s="936"/>
      <c r="E103" s="937"/>
      <c r="F103" s="937"/>
      <c r="G103" s="937"/>
      <c r="H103" s="937"/>
      <c r="I103" s="378"/>
      <c r="J103" s="264"/>
      <c r="K103" s="264"/>
      <c r="L103" s="264"/>
      <c r="M103" s="264"/>
      <c r="N103" s="264"/>
      <c r="O103" s="264"/>
      <c r="P103" s="277"/>
      <c r="Q103" s="278"/>
    </row>
    <row r="104" spans="1:17" ht="13.95" customHeight="1" x14ac:dyDescent="0.25">
      <c r="A104" s="169"/>
      <c r="B104" s="273"/>
      <c r="C104" s="381" t="s">
        <v>1052</v>
      </c>
      <c r="D104" s="936"/>
      <c r="E104" s="937"/>
      <c r="F104" s="937"/>
      <c r="G104" s="937"/>
      <c r="H104" s="937"/>
      <c r="I104" s="378"/>
      <c r="J104" s="264"/>
      <c r="K104" s="264"/>
      <c r="L104" s="264"/>
      <c r="M104" s="264"/>
      <c r="N104" s="264"/>
      <c r="O104" s="264"/>
      <c r="P104" s="277"/>
      <c r="Q104" s="278"/>
    </row>
    <row r="105" spans="1:17" ht="13.95" customHeight="1" x14ac:dyDescent="0.25">
      <c r="A105" s="169"/>
      <c r="B105" s="273"/>
      <c r="C105" s="381" t="s">
        <v>1053</v>
      </c>
      <c r="D105" s="936"/>
      <c r="E105" s="937"/>
      <c r="F105" s="937"/>
      <c r="G105" s="937"/>
      <c r="H105" s="937"/>
      <c r="I105" s="378"/>
      <c r="J105" s="264"/>
      <c r="K105" s="264"/>
      <c r="L105" s="264"/>
      <c r="M105" s="264"/>
      <c r="N105" s="264"/>
      <c r="O105" s="264"/>
      <c r="P105" s="277"/>
      <c r="Q105" s="278"/>
    </row>
    <row r="106" spans="1:17" ht="13.95" customHeight="1" x14ac:dyDescent="0.25">
      <c r="A106" s="169"/>
      <c r="B106" s="273"/>
      <c r="C106" s="381" t="s">
        <v>1054</v>
      </c>
      <c r="D106" s="936"/>
      <c r="E106" s="937"/>
      <c r="F106" s="937"/>
      <c r="G106" s="937"/>
      <c r="H106" s="937"/>
      <c r="I106" s="378"/>
      <c r="J106" s="264"/>
      <c r="K106" s="264"/>
      <c r="L106" s="264"/>
      <c r="M106" s="264"/>
      <c r="N106" s="264"/>
      <c r="O106" s="264"/>
      <c r="P106" s="277"/>
      <c r="Q106" s="278"/>
    </row>
    <row r="107" spans="1:17" ht="13.95" customHeight="1" x14ac:dyDescent="0.25">
      <c r="A107" s="169"/>
      <c r="B107" s="273"/>
      <c r="C107" s="381" t="s">
        <v>1055</v>
      </c>
      <c r="D107" s="936"/>
      <c r="E107" s="937"/>
      <c r="F107" s="937"/>
      <c r="G107" s="937"/>
      <c r="H107" s="937"/>
      <c r="I107" s="378"/>
      <c r="J107" s="264"/>
      <c r="K107" s="264"/>
      <c r="L107" s="264"/>
      <c r="M107" s="264"/>
      <c r="N107" s="264"/>
      <c r="O107" s="264"/>
      <c r="P107" s="277"/>
      <c r="Q107" s="278"/>
    </row>
    <row r="108" spans="1:17" ht="13.95" customHeight="1" x14ac:dyDescent="0.25">
      <c r="A108" s="169"/>
      <c r="B108" s="273"/>
      <c r="C108" s="381" t="s">
        <v>1056</v>
      </c>
      <c r="D108" s="936"/>
      <c r="E108" s="937"/>
      <c r="F108" s="937"/>
      <c r="G108" s="937"/>
      <c r="H108" s="937"/>
      <c r="I108" s="378"/>
      <c r="J108" s="264"/>
      <c r="K108" s="264"/>
      <c r="L108" s="264"/>
      <c r="M108" s="264"/>
      <c r="N108" s="264"/>
      <c r="O108" s="264"/>
      <c r="P108" s="277"/>
      <c r="Q108" s="278"/>
    </row>
    <row r="109" spans="1:17" ht="13.95" customHeight="1" x14ac:dyDescent="0.25">
      <c r="A109" s="169"/>
      <c r="B109" s="273"/>
      <c r="C109" s="381" t="s">
        <v>1057</v>
      </c>
      <c r="D109" s="936"/>
      <c r="E109" s="937"/>
      <c r="F109" s="937"/>
      <c r="G109" s="937"/>
      <c r="H109" s="937"/>
      <c r="I109" s="378"/>
      <c r="J109" s="264"/>
      <c r="K109" s="264"/>
      <c r="L109" s="264"/>
      <c r="M109" s="264"/>
      <c r="N109" s="264"/>
      <c r="O109" s="264"/>
      <c r="P109" s="277"/>
      <c r="Q109" s="278"/>
    </row>
    <row r="110" spans="1:17" ht="13.95" customHeight="1" x14ac:dyDescent="0.25">
      <c r="A110" s="169"/>
      <c r="B110" s="273"/>
      <c r="C110" s="381" t="s">
        <v>1058</v>
      </c>
      <c r="D110" s="936"/>
      <c r="E110" s="937"/>
      <c r="F110" s="937"/>
      <c r="G110" s="937"/>
      <c r="H110" s="937"/>
      <c r="I110" s="378"/>
      <c r="J110" s="264"/>
      <c r="K110" s="264"/>
      <c r="L110" s="264"/>
      <c r="M110" s="264"/>
      <c r="N110" s="264"/>
      <c r="O110" s="264"/>
      <c r="P110" s="277"/>
      <c r="Q110" s="278"/>
    </row>
    <row r="111" spans="1:17" ht="13.95" customHeight="1" x14ac:dyDescent="0.25">
      <c r="A111" s="169"/>
      <c r="B111" s="273"/>
      <c r="C111" s="381" t="s">
        <v>345</v>
      </c>
      <c r="D111" s="936"/>
      <c r="E111" s="937"/>
      <c r="F111" s="937"/>
      <c r="G111" s="937"/>
      <c r="H111" s="937"/>
      <c r="I111" s="378"/>
      <c r="J111" s="264"/>
      <c r="K111" s="264"/>
      <c r="L111" s="264"/>
      <c r="M111" s="264"/>
      <c r="N111" s="264"/>
      <c r="O111" s="264"/>
      <c r="P111" s="277"/>
      <c r="Q111" s="278"/>
    </row>
    <row r="112" spans="1:17" ht="13.95" customHeight="1" x14ac:dyDescent="0.25">
      <c r="A112" s="169"/>
      <c r="B112" s="273"/>
      <c r="C112" s="381" t="s">
        <v>346</v>
      </c>
      <c r="D112" s="936"/>
      <c r="E112" s="937"/>
      <c r="F112" s="937"/>
      <c r="G112" s="937"/>
      <c r="H112" s="937"/>
      <c r="I112" s="378"/>
      <c r="J112" s="264"/>
      <c r="K112" s="264"/>
      <c r="L112" s="264"/>
      <c r="M112" s="264"/>
      <c r="N112" s="264"/>
      <c r="O112" s="264"/>
      <c r="P112" s="277"/>
      <c r="Q112" s="278"/>
    </row>
    <row r="113" spans="1:17" ht="13.95" customHeight="1" x14ac:dyDescent="0.25">
      <c r="A113" s="169"/>
      <c r="B113" s="273"/>
      <c r="C113" s="381" t="s">
        <v>347</v>
      </c>
      <c r="D113" s="936"/>
      <c r="E113" s="937"/>
      <c r="F113" s="937"/>
      <c r="G113" s="937"/>
      <c r="H113" s="937"/>
      <c r="I113" s="378"/>
      <c r="J113" s="264"/>
      <c r="K113" s="264"/>
      <c r="L113" s="264"/>
      <c r="M113" s="264"/>
      <c r="N113" s="264"/>
      <c r="O113" s="264"/>
      <c r="P113" s="277"/>
      <c r="Q113" s="278"/>
    </row>
    <row r="114" spans="1:17" ht="13.95" customHeight="1" x14ac:dyDescent="0.25">
      <c r="A114" s="169"/>
      <c r="B114" s="273"/>
      <c r="C114" s="381" t="s">
        <v>348</v>
      </c>
      <c r="D114" s="936"/>
      <c r="E114" s="937"/>
      <c r="F114" s="937"/>
      <c r="G114" s="937"/>
      <c r="H114" s="937"/>
      <c r="I114" s="378"/>
      <c r="J114" s="264"/>
      <c r="K114" s="264"/>
      <c r="L114" s="264"/>
      <c r="M114" s="264"/>
      <c r="N114" s="264"/>
      <c r="O114" s="264"/>
      <c r="P114" s="277"/>
      <c r="Q114" s="278"/>
    </row>
    <row r="115" spans="1:17" ht="13.95" customHeight="1" x14ac:dyDescent="0.25">
      <c r="A115" s="169"/>
      <c r="B115" s="273"/>
      <c r="C115" s="381" t="s">
        <v>349</v>
      </c>
      <c r="D115" s="936"/>
      <c r="E115" s="937"/>
      <c r="F115" s="937"/>
      <c r="G115" s="937"/>
      <c r="H115" s="937"/>
      <c r="I115" s="378"/>
      <c r="J115" s="264"/>
      <c r="K115" s="264"/>
      <c r="L115" s="264"/>
      <c r="M115" s="264"/>
      <c r="N115" s="264"/>
      <c r="O115" s="264"/>
      <c r="P115" s="277"/>
      <c r="Q115" s="278"/>
    </row>
    <row r="116" spans="1:17" ht="13.95" customHeight="1" x14ac:dyDescent="0.25">
      <c r="A116" s="169"/>
      <c r="B116" s="273"/>
      <c r="C116" s="381" t="s">
        <v>350</v>
      </c>
      <c r="D116" s="936"/>
      <c r="E116" s="937"/>
      <c r="F116" s="937"/>
      <c r="G116" s="937"/>
      <c r="H116" s="937"/>
      <c r="I116" s="378"/>
      <c r="J116" s="264"/>
      <c r="K116" s="264"/>
      <c r="L116" s="264"/>
      <c r="M116" s="264"/>
      <c r="N116" s="264"/>
      <c r="O116" s="264"/>
      <c r="P116" s="277"/>
      <c r="Q116" s="278"/>
    </row>
    <row r="117" spans="1:17" ht="13.95" customHeight="1" x14ac:dyDescent="0.25">
      <c r="A117" s="169"/>
      <c r="B117" s="273"/>
      <c r="C117" s="381" t="s">
        <v>351</v>
      </c>
      <c r="D117" s="936"/>
      <c r="E117" s="937"/>
      <c r="F117" s="937"/>
      <c r="G117" s="937"/>
      <c r="H117" s="937"/>
      <c r="I117" s="378"/>
      <c r="J117" s="264"/>
      <c r="K117" s="264"/>
      <c r="L117" s="264"/>
      <c r="M117" s="264"/>
      <c r="N117" s="264"/>
      <c r="O117" s="264"/>
      <c r="P117" s="277"/>
      <c r="Q117" s="278"/>
    </row>
    <row r="118" spans="1:17" ht="13.95" customHeight="1" x14ac:dyDescent="0.25">
      <c r="A118" s="169"/>
      <c r="B118" s="273"/>
      <c r="C118" s="381" t="s">
        <v>352</v>
      </c>
      <c r="D118" s="936"/>
      <c r="E118" s="937"/>
      <c r="F118" s="937"/>
      <c r="G118" s="937"/>
      <c r="H118" s="937"/>
      <c r="I118" s="378"/>
      <c r="J118" s="264"/>
      <c r="K118" s="264"/>
      <c r="L118" s="264"/>
      <c r="M118" s="264"/>
      <c r="N118" s="264"/>
      <c r="O118" s="264"/>
      <c r="P118" s="277"/>
      <c r="Q118" s="278"/>
    </row>
    <row r="119" spans="1:17" ht="13.95" customHeight="1" x14ac:dyDescent="0.25">
      <c r="A119" s="169"/>
      <c r="B119" s="273"/>
      <c r="C119" s="381" t="s">
        <v>353</v>
      </c>
      <c r="D119" s="936"/>
      <c r="E119" s="937"/>
      <c r="F119" s="937"/>
      <c r="G119" s="937"/>
      <c r="H119" s="937"/>
      <c r="I119" s="378"/>
      <c r="J119" s="264"/>
      <c r="K119" s="264"/>
      <c r="L119" s="264"/>
      <c r="M119" s="264"/>
      <c r="N119" s="264"/>
      <c r="O119" s="264"/>
      <c r="P119" s="277"/>
      <c r="Q119" s="278"/>
    </row>
    <row r="120" spans="1:17" ht="13.95" customHeight="1" x14ac:dyDescent="0.25">
      <c r="A120" s="169"/>
      <c r="B120" s="273"/>
      <c r="C120" s="381" t="s">
        <v>1078</v>
      </c>
      <c r="D120" s="936"/>
      <c r="E120" s="937"/>
      <c r="F120" s="937"/>
      <c r="G120" s="937"/>
      <c r="H120" s="937"/>
      <c r="I120" s="378"/>
      <c r="J120" s="264"/>
      <c r="K120" s="264"/>
      <c r="L120" s="264"/>
      <c r="M120" s="264"/>
      <c r="N120" s="264"/>
      <c r="O120" s="264"/>
      <c r="P120" s="277"/>
      <c r="Q120" s="278"/>
    </row>
    <row r="121" spans="1:17" ht="13.95" customHeight="1" x14ac:dyDescent="0.25">
      <c r="A121" s="169"/>
      <c r="B121" s="273"/>
      <c r="C121" s="381" t="s">
        <v>354</v>
      </c>
      <c r="D121" s="936"/>
      <c r="E121" s="937"/>
      <c r="F121" s="937"/>
      <c r="G121" s="937"/>
      <c r="H121" s="937"/>
      <c r="I121" s="378"/>
      <c r="J121" s="264"/>
      <c r="K121" s="264"/>
      <c r="L121" s="264"/>
      <c r="M121" s="264"/>
      <c r="N121" s="264"/>
      <c r="O121" s="264"/>
      <c r="P121" s="277"/>
      <c r="Q121" s="278"/>
    </row>
    <row r="122" spans="1:17" ht="13.95" customHeight="1" x14ac:dyDescent="0.25">
      <c r="A122" s="169"/>
      <c r="B122" s="273"/>
      <c r="C122" s="381" t="s">
        <v>355</v>
      </c>
      <c r="D122" s="936"/>
      <c r="E122" s="937"/>
      <c r="F122" s="937"/>
      <c r="G122" s="937"/>
      <c r="H122" s="937"/>
      <c r="I122" s="378"/>
      <c r="J122" s="264"/>
      <c r="K122" s="264"/>
      <c r="L122" s="264"/>
      <c r="M122" s="264"/>
      <c r="N122" s="264"/>
      <c r="O122" s="264"/>
      <c r="P122" s="277"/>
      <c r="Q122" s="278"/>
    </row>
    <row r="123" spans="1:17" ht="13.95" customHeight="1" x14ac:dyDescent="0.25">
      <c r="A123" s="169"/>
      <c r="B123" s="273"/>
      <c r="C123" s="381" t="s">
        <v>356</v>
      </c>
      <c r="D123" s="936"/>
      <c r="E123" s="937"/>
      <c r="F123" s="937"/>
      <c r="G123" s="937"/>
      <c r="H123" s="937"/>
      <c r="I123" s="378"/>
      <c r="J123" s="264"/>
      <c r="K123" s="264"/>
      <c r="L123" s="264"/>
      <c r="M123" s="264"/>
      <c r="N123" s="264"/>
      <c r="O123" s="264"/>
      <c r="P123" s="277"/>
      <c r="Q123" s="278"/>
    </row>
    <row r="124" spans="1:17" ht="13.95" customHeight="1" x14ac:dyDescent="0.25">
      <c r="A124" s="169"/>
      <c r="B124" s="273"/>
      <c r="C124" s="381" t="s">
        <v>1079</v>
      </c>
      <c r="D124" s="936"/>
      <c r="E124" s="937"/>
      <c r="F124" s="937"/>
      <c r="G124" s="937"/>
      <c r="H124" s="937"/>
      <c r="I124" s="378"/>
      <c r="J124" s="264"/>
      <c r="K124" s="264"/>
      <c r="L124" s="264"/>
      <c r="M124" s="264"/>
      <c r="N124" s="264"/>
      <c r="O124" s="264"/>
      <c r="P124" s="277"/>
      <c r="Q124" s="278"/>
    </row>
    <row r="125" spans="1:17" ht="13.95" customHeight="1" x14ac:dyDescent="0.25">
      <c r="A125" s="169"/>
      <c r="B125" s="273"/>
      <c r="C125" s="381" t="s">
        <v>1080</v>
      </c>
      <c r="D125" s="936"/>
      <c r="E125" s="937"/>
      <c r="F125" s="937"/>
      <c r="G125" s="937"/>
      <c r="H125" s="937"/>
      <c r="I125" s="378"/>
      <c r="J125" s="264"/>
      <c r="K125" s="264"/>
      <c r="L125" s="264"/>
      <c r="M125" s="264"/>
      <c r="N125" s="264"/>
      <c r="O125" s="264"/>
      <c r="P125" s="277"/>
      <c r="Q125" s="278"/>
    </row>
    <row r="126" spans="1:17" ht="13.95" customHeight="1" x14ac:dyDescent="0.25">
      <c r="A126" s="169"/>
      <c r="B126" s="273"/>
      <c r="C126" s="381" t="s">
        <v>1081</v>
      </c>
      <c r="D126" s="936"/>
      <c r="E126" s="937"/>
      <c r="F126" s="937"/>
      <c r="G126" s="937"/>
      <c r="H126" s="937"/>
      <c r="I126" s="378"/>
      <c r="J126" s="264"/>
      <c r="K126" s="264"/>
      <c r="L126" s="264"/>
      <c r="M126" s="264"/>
      <c r="N126" s="264"/>
      <c r="O126" s="264"/>
      <c r="P126" s="277"/>
      <c r="Q126" s="278"/>
    </row>
    <row r="127" spans="1:17" ht="13.95" customHeight="1" x14ac:dyDescent="0.25">
      <c r="A127" s="169"/>
      <c r="B127" s="273"/>
      <c r="C127" s="381" t="s">
        <v>1082</v>
      </c>
      <c r="D127" s="936"/>
      <c r="E127" s="937"/>
      <c r="F127" s="937"/>
      <c r="G127" s="937"/>
      <c r="H127" s="937"/>
      <c r="I127" s="378"/>
      <c r="J127" s="264"/>
      <c r="K127" s="264"/>
      <c r="L127" s="264"/>
      <c r="M127" s="264"/>
      <c r="N127" s="264"/>
      <c r="O127" s="264"/>
      <c r="P127" s="277"/>
      <c r="Q127" s="278"/>
    </row>
    <row r="128" spans="1:17" ht="13.95" customHeight="1" x14ac:dyDescent="0.25">
      <c r="A128" s="169"/>
      <c r="B128" s="273"/>
      <c r="C128" s="381" t="s">
        <v>1083</v>
      </c>
      <c r="D128" s="936"/>
      <c r="E128" s="937"/>
      <c r="F128" s="937"/>
      <c r="G128" s="937"/>
      <c r="H128" s="937"/>
      <c r="I128" s="378"/>
      <c r="J128" s="264"/>
      <c r="K128" s="264"/>
      <c r="L128" s="264"/>
      <c r="M128" s="264"/>
      <c r="N128" s="264"/>
      <c r="O128" s="264"/>
      <c r="P128" s="277"/>
      <c r="Q128" s="278"/>
    </row>
    <row r="129" spans="1:17" ht="13.95" customHeight="1" x14ac:dyDescent="0.25">
      <c r="A129" s="169"/>
      <c r="B129" s="273"/>
      <c r="C129" s="381" t="s">
        <v>1084</v>
      </c>
      <c r="D129" s="936"/>
      <c r="E129" s="937"/>
      <c r="F129" s="937"/>
      <c r="G129" s="937"/>
      <c r="H129" s="937"/>
      <c r="I129" s="378"/>
      <c r="J129" s="264"/>
      <c r="K129" s="264"/>
      <c r="L129" s="264"/>
      <c r="M129" s="264"/>
      <c r="N129" s="264"/>
      <c r="O129" s="264"/>
      <c r="P129" s="277"/>
      <c r="Q129" s="278"/>
    </row>
    <row r="130" spans="1:17" ht="13.95" customHeight="1" x14ac:dyDescent="0.25">
      <c r="A130" s="169"/>
      <c r="B130" s="273"/>
      <c r="C130" s="381" t="s">
        <v>1085</v>
      </c>
      <c r="D130" s="936"/>
      <c r="E130" s="937"/>
      <c r="F130" s="937"/>
      <c r="G130" s="937"/>
      <c r="H130" s="937"/>
      <c r="I130" s="378"/>
      <c r="J130" s="264"/>
      <c r="K130" s="264"/>
      <c r="L130" s="264"/>
      <c r="M130" s="264"/>
      <c r="N130" s="264"/>
      <c r="O130" s="264"/>
      <c r="P130" s="277"/>
      <c r="Q130" s="278"/>
    </row>
    <row r="131" spans="1:17" ht="13.95" customHeight="1" x14ac:dyDescent="0.25">
      <c r="A131" s="169"/>
      <c r="B131" s="273"/>
      <c r="C131" s="381" t="s">
        <v>1086</v>
      </c>
      <c r="D131" s="936"/>
      <c r="E131" s="937"/>
      <c r="F131" s="937"/>
      <c r="G131" s="937"/>
      <c r="H131" s="937"/>
      <c r="I131" s="378"/>
      <c r="J131" s="264"/>
      <c r="K131" s="264"/>
      <c r="L131" s="264"/>
      <c r="M131" s="264"/>
      <c r="N131" s="264"/>
      <c r="O131" s="264"/>
      <c r="P131" s="277"/>
      <c r="Q131" s="278"/>
    </row>
    <row r="132" spans="1:17" ht="13.95" customHeight="1" x14ac:dyDescent="0.25">
      <c r="A132" s="169"/>
      <c r="B132" s="273"/>
      <c r="C132" s="381" t="s">
        <v>1087</v>
      </c>
      <c r="D132" s="936"/>
      <c r="E132" s="937"/>
      <c r="F132" s="937"/>
      <c r="G132" s="937"/>
      <c r="H132" s="937"/>
      <c r="I132" s="378"/>
      <c r="J132" s="264"/>
      <c r="K132" s="264"/>
      <c r="L132" s="264"/>
      <c r="M132" s="264"/>
      <c r="N132" s="264"/>
      <c r="O132" s="264"/>
      <c r="P132" s="277"/>
      <c r="Q132" s="278"/>
    </row>
    <row r="133" spans="1:17" ht="13.95" customHeight="1" x14ac:dyDescent="0.25">
      <c r="A133" s="169"/>
      <c r="B133" s="273"/>
      <c r="C133" s="381" t="s">
        <v>357</v>
      </c>
      <c r="D133" s="936"/>
      <c r="E133" s="937"/>
      <c r="F133" s="937"/>
      <c r="G133" s="937"/>
      <c r="H133" s="937"/>
      <c r="I133" s="378"/>
      <c r="J133" s="264"/>
      <c r="K133" s="264"/>
      <c r="L133" s="264"/>
      <c r="M133" s="264"/>
      <c r="N133" s="264"/>
      <c r="O133" s="264"/>
      <c r="P133" s="277"/>
      <c r="Q133" s="278"/>
    </row>
    <row r="134" spans="1:17" ht="13.95" customHeight="1" x14ac:dyDescent="0.25">
      <c r="A134" s="169"/>
      <c r="B134" s="273"/>
      <c r="C134" s="381" t="s">
        <v>358</v>
      </c>
      <c r="D134" s="936"/>
      <c r="E134" s="937"/>
      <c r="F134" s="937"/>
      <c r="G134" s="937"/>
      <c r="H134" s="937"/>
      <c r="I134" s="378"/>
      <c r="J134" s="264"/>
      <c r="K134" s="264"/>
      <c r="L134" s="264"/>
      <c r="M134" s="264"/>
      <c r="N134" s="264"/>
      <c r="O134" s="264"/>
      <c r="P134" s="277"/>
      <c r="Q134" s="278"/>
    </row>
    <row r="135" spans="1:17" ht="13.95" customHeight="1" x14ac:dyDescent="0.25">
      <c r="A135" s="169"/>
      <c r="B135" s="273"/>
      <c r="C135" s="381" t="s">
        <v>359</v>
      </c>
      <c r="D135" s="936"/>
      <c r="E135" s="937"/>
      <c r="F135" s="937"/>
      <c r="G135" s="937"/>
      <c r="H135" s="937"/>
      <c r="I135" s="378"/>
      <c r="J135" s="264"/>
      <c r="K135" s="264"/>
      <c r="L135" s="264"/>
      <c r="M135" s="264"/>
      <c r="N135" s="264"/>
      <c r="O135" s="264"/>
      <c r="P135" s="277"/>
      <c r="Q135" s="278"/>
    </row>
    <row r="136" spans="1:17" ht="13.95" customHeight="1" x14ac:dyDescent="0.25">
      <c r="A136" s="169"/>
      <c r="B136" s="273"/>
      <c r="C136" s="381" t="s">
        <v>360</v>
      </c>
      <c r="D136" s="936"/>
      <c r="E136" s="937"/>
      <c r="F136" s="937"/>
      <c r="G136" s="937"/>
      <c r="H136" s="937"/>
      <c r="I136" s="378"/>
      <c r="J136" s="264"/>
      <c r="K136" s="264"/>
      <c r="L136" s="264"/>
      <c r="M136" s="264"/>
      <c r="N136" s="264"/>
      <c r="O136" s="264"/>
      <c r="P136" s="277"/>
      <c r="Q136" s="278"/>
    </row>
    <row r="137" spans="1:17" ht="13.95" customHeight="1" x14ac:dyDescent="0.25">
      <c r="A137" s="169"/>
      <c r="B137" s="273"/>
      <c r="C137" s="381" t="s">
        <v>1088</v>
      </c>
      <c r="D137" s="936"/>
      <c r="E137" s="937"/>
      <c r="F137" s="937"/>
      <c r="G137" s="937"/>
      <c r="H137" s="937"/>
      <c r="I137" s="378"/>
      <c r="J137" s="264"/>
      <c r="K137" s="264"/>
      <c r="L137" s="264"/>
      <c r="M137" s="264"/>
      <c r="N137" s="264"/>
      <c r="O137" s="264"/>
      <c r="P137" s="277"/>
      <c r="Q137" s="278"/>
    </row>
    <row r="138" spans="1:17" ht="13.95" customHeight="1" x14ac:dyDescent="0.25">
      <c r="A138" s="169"/>
      <c r="B138" s="273"/>
      <c r="C138" s="381" t="s">
        <v>1089</v>
      </c>
      <c r="D138" s="936"/>
      <c r="E138" s="937"/>
      <c r="F138" s="937"/>
      <c r="G138" s="937"/>
      <c r="H138" s="937"/>
      <c r="I138" s="378"/>
      <c r="J138" s="264"/>
      <c r="K138" s="264"/>
      <c r="L138" s="264"/>
      <c r="M138" s="264"/>
      <c r="N138" s="264"/>
      <c r="O138" s="264"/>
      <c r="P138" s="277"/>
      <c r="Q138" s="278"/>
    </row>
    <row r="139" spans="1:17" ht="13.95" customHeight="1" x14ac:dyDescent="0.25">
      <c r="A139" s="169"/>
      <c r="B139" s="273"/>
      <c r="C139" s="381" t="s">
        <v>1090</v>
      </c>
      <c r="D139" s="936"/>
      <c r="E139" s="937"/>
      <c r="F139" s="937"/>
      <c r="G139" s="937"/>
      <c r="H139" s="937"/>
      <c r="I139" s="378"/>
      <c r="J139" s="264"/>
      <c r="K139" s="264"/>
      <c r="L139" s="264"/>
      <c r="M139" s="264"/>
      <c r="N139" s="264"/>
      <c r="O139" s="264"/>
      <c r="P139" s="277"/>
      <c r="Q139" s="278"/>
    </row>
    <row r="140" spans="1:17" ht="13.95" customHeight="1" x14ac:dyDescent="0.25">
      <c r="A140" s="169"/>
      <c r="B140" s="273"/>
      <c r="C140" s="381" t="s">
        <v>1091</v>
      </c>
      <c r="D140" s="936"/>
      <c r="E140" s="937"/>
      <c r="F140" s="937"/>
      <c r="G140" s="937"/>
      <c r="H140" s="937"/>
      <c r="I140" s="378"/>
      <c r="J140" s="264"/>
      <c r="K140" s="264"/>
      <c r="L140" s="264"/>
      <c r="M140" s="264"/>
      <c r="N140" s="264"/>
      <c r="O140" s="264"/>
      <c r="P140" s="277"/>
      <c r="Q140" s="278"/>
    </row>
    <row r="141" spans="1:17" ht="13.95" customHeight="1" x14ac:dyDescent="0.25">
      <c r="A141" s="169"/>
      <c r="B141" s="273"/>
      <c r="C141" s="381" t="s">
        <v>1092</v>
      </c>
      <c r="D141" s="936"/>
      <c r="E141" s="937"/>
      <c r="F141" s="937"/>
      <c r="G141" s="937"/>
      <c r="H141" s="937"/>
      <c r="I141" s="378"/>
      <c r="J141" s="264"/>
      <c r="K141" s="264"/>
      <c r="L141" s="264"/>
      <c r="M141" s="264"/>
      <c r="N141" s="264"/>
      <c r="O141" s="264"/>
      <c r="P141" s="277"/>
      <c r="Q141" s="278"/>
    </row>
    <row r="142" spans="1:17" ht="13.95" customHeight="1" x14ac:dyDescent="0.25">
      <c r="A142" s="169"/>
      <c r="B142" s="273"/>
      <c r="C142" s="381" t="s">
        <v>1093</v>
      </c>
      <c r="D142" s="936"/>
      <c r="E142" s="937"/>
      <c r="F142" s="937"/>
      <c r="G142" s="937"/>
      <c r="H142" s="937"/>
      <c r="I142" s="378"/>
      <c r="J142" s="264"/>
      <c r="K142" s="264"/>
      <c r="L142" s="264"/>
      <c r="M142" s="264"/>
      <c r="N142" s="264"/>
      <c r="O142" s="264"/>
      <c r="P142" s="277"/>
      <c r="Q142" s="278"/>
    </row>
    <row r="143" spans="1:17" ht="13.95" customHeight="1" x14ac:dyDescent="0.25">
      <c r="A143" s="169"/>
      <c r="B143" s="273"/>
      <c r="C143" s="381" t="s">
        <v>361</v>
      </c>
      <c r="D143" s="936"/>
      <c r="E143" s="937"/>
      <c r="F143" s="937"/>
      <c r="G143" s="937"/>
      <c r="H143" s="937"/>
      <c r="I143" s="378"/>
      <c r="J143" s="264"/>
      <c r="K143" s="264"/>
      <c r="L143" s="264"/>
      <c r="M143" s="264"/>
      <c r="N143" s="264"/>
      <c r="O143" s="264"/>
      <c r="P143" s="277"/>
      <c r="Q143" s="278"/>
    </row>
    <row r="144" spans="1:17" ht="13.95" customHeight="1" x14ac:dyDescent="0.25">
      <c r="A144" s="169"/>
      <c r="B144" s="273"/>
      <c r="C144" s="381" t="s">
        <v>362</v>
      </c>
      <c r="D144" s="936"/>
      <c r="E144" s="937"/>
      <c r="F144" s="937"/>
      <c r="G144" s="937"/>
      <c r="H144" s="937"/>
      <c r="I144" s="378"/>
      <c r="J144" s="264"/>
      <c r="K144" s="264"/>
      <c r="L144" s="264"/>
      <c r="M144" s="264"/>
      <c r="N144" s="264"/>
      <c r="O144" s="264"/>
      <c r="P144" s="277"/>
      <c r="Q144" s="278"/>
    </row>
    <row r="145" spans="1:17" ht="13.95" customHeight="1" x14ac:dyDescent="0.25">
      <c r="A145" s="169"/>
      <c r="B145" s="273"/>
      <c r="C145" s="381" t="s">
        <v>363</v>
      </c>
      <c r="D145" s="936"/>
      <c r="E145" s="937"/>
      <c r="F145" s="937"/>
      <c r="G145" s="937"/>
      <c r="H145" s="937"/>
      <c r="I145" s="378"/>
      <c r="J145" s="264"/>
      <c r="K145" s="264"/>
      <c r="L145" s="264"/>
      <c r="M145" s="264"/>
      <c r="N145" s="264"/>
      <c r="O145" s="264"/>
      <c r="P145" s="277"/>
      <c r="Q145" s="278"/>
    </row>
    <row r="146" spans="1:17" ht="13.95" customHeight="1" x14ac:dyDescent="0.25">
      <c r="A146" s="169"/>
      <c r="B146" s="273"/>
      <c r="C146" s="381" t="s">
        <v>364</v>
      </c>
      <c r="D146" s="936"/>
      <c r="E146" s="937"/>
      <c r="F146" s="937"/>
      <c r="G146" s="937"/>
      <c r="H146" s="937"/>
      <c r="I146" s="378"/>
      <c r="J146" s="264"/>
      <c r="K146" s="264"/>
      <c r="L146" s="264"/>
      <c r="M146" s="264"/>
      <c r="N146" s="264"/>
      <c r="O146" s="264"/>
      <c r="P146" s="277"/>
      <c r="Q146" s="278"/>
    </row>
    <row r="147" spans="1:17" ht="13.95" customHeight="1" x14ac:dyDescent="0.25">
      <c r="A147" s="169"/>
      <c r="B147" s="273"/>
      <c r="C147" s="381" t="s">
        <v>365</v>
      </c>
      <c r="D147" s="936"/>
      <c r="E147" s="937"/>
      <c r="F147" s="937"/>
      <c r="G147" s="937"/>
      <c r="H147" s="937"/>
      <c r="I147" s="378"/>
      <c r="J147" s="264"/>
      <c r="K147" s="264"/>
      <c r="L147" s="264"/>
      <c r="M147" s="264"/>
      <c r="N147" s="264"/>
      <c r="O147" s="264"/>
      <c r="P147" s="277"/>
      <c r="Q147" s="278"/>
    </row>
    <row r="148" spans="1:17" ht="13.95" customHeight="1" x14ac:dyDescent="0.25">
      <c r="A148" s="169"/>
      <c r="B148" s="273"/>
      <c r="C148" s="381" t="s">
        <v>366</v>
      </c>
      <c r="D148" s="936"/>
      <c r="E148" s="937"/>
      <c r="F148" s="937"/>
      <c r="G148" s="937"/>
      <c r="H148" s="937"/>
      <c r="I148" s="378"/>
      <c r="J148" s="264"/>
      <c r="K148" s="264"/>
      <c r="L148" s="264"/>
      <c r="M148" s="264"/>
      <c r="N148" s="264"/>
      <c r="O148" s="264"/>
      <c r="P148" s="277"/>
      <c r="Q148" s="278"/>
    </row>
    <row r="149" spans="1:17" ht="13.95" customHeight="1" x14ac:dyDescent="0.25">
      <c r="A149" s="169"/>
      <c r="B149" s="273"/>
      <c r="C149" s="381" t="s">
        <v>367</v>
      </c>
      <c r="D149" s="936"/>
      <c r="E149" s="937"/>
      <c r="F149" s="937"/>
      <c r="G149" s="937"/>
      <c r="H149" s="937"/>
      <c r="I149" s="378"/>
      <c r="J149" s="264"/>
      <c r="K149" s="264"/>
      <c r="L149" s="264"/>
      <c r="M149" s="264"/>
      <c r="N149" s="264"/>
      <c r="O149" s="264"/>
      <c r="P149" s="277"/>
      <c r="Q149" s="278"/>
    </row>
    <row r="150" spans="1:17" ht="13.95" customHeight="1" x14ac:dyDescent="0.25">
      <c r="A150" s="169"/>
      <c r="B150" s="273"/>
      <c r="C150" s="381" t="s">
        <v>368</v>
      </c>
      <c r="D150" s="936"/>
      <c r="E150" s="937"/>
      <c r="F150" s="937"/>
      <c r="G150" s="937"/>
      <c r="H150" s="937"/>
      <c r="I150" s="378"/>
      <c r="J150" s="264"/>
      <c r="K150" s="264"/>
      <c r="L150" s="264"/>
      <c r="M150" s="264"/>
      <c r="N150" s="264"/>
      <c r="O150" s="264"/>
      <c r="P150" s="277"/>
      <c r="Q150" s="278"/>
    </row>
    <row r="151" spans="1:17" ht="13.95" customHeight="1" x14ac:dyDescent="0.25">
      <c r="A151" s="169"/>
      <c r="B151" s="273"/>
      <c r="C151" s="381" t="s">
        <v>372</v>
      </c>
      <c r="D151" s="936"/>
      <c r="E151" s="937"/>
      <c r="F151" s="937"/>
      <c r="G151" s="937"/>
      <c r="H151" s="937"/>
      <c r="I151" s="378"/>
      <c r="J151" s="264"/>
      <c r="K151" s="264"/>
      <c r="L151" s="264"/>
      <c r="M151" s="264"/>
      <c r="N151" s="264"/>
      <c r="O151" s="264"/>
      <c r="P151" s="277"/>
      <c r="Q151" s="278"/>
    </row>
    <row r="152" spans="1:17" ht="13.95" customHeight="1" x14ac:dyDescent="0.25">
      <c r="A152" s="169"/>
      <c r="B152" s="273"/>
      <c r="C152" s="381" t="s">
        <v>373</v>
      </c>
      <c r="D152" s="936"/>
      <c r="E152" s="937"/>
      <c r="F152" s="937"/>
      <c r="G152" s="937"/>
      <c r="H152" s="937"/>
      <c r="I152" s="378"/>
      <c r="J152" s="264"/>
      <c r="K152" s="264"/>
      <c r="L152" s="264"/>
      <c r="M152" s="264"/>
      <c r="N152" s="264"/>
      <c r="O152" s="264"/>
      <c r="P152" s="277"/>
      <c r="Q152" s="278"/>
    </row>
    <row r="153" spans="1:17" ht="13.95" customHeight="1" x14ac:dyDescent="0.25">
      <c r="A153" s="169"/>
      <c r="B153" s="273"/>
      <c r="C153" s="381" t="s">
        <v>374</v>
      </c>
      <c r="D153" s="936"/>
      <c r="E153" s="937"/>
      <c r="F153" s="937"/>
      <c r="G153" s="937"/>
      <c r="H153" s="937"/>
      <c r="I153" s="378"/>
      <c r="J153" s="264"/>
      <c r="K153" s="264"/>
      <c r="L153" s="264"/>
      <c r="M153" s="264"/>
      <c r="N153" s="264"/>
      <c r="O153" s="264"/>
      <c r="P153" s="277"/>
      <c r="Q153" s="278"/>
    </row>
    <row r="154" spans="1:17" ht="13.95" customHeight="1" x14ac:dyDescent="0.25">
      <c r="A154" s="169"/>
      <c r="B154" s="273"/>
      <c r="C154" s="381" t="s">
        <v>375</v>
      </c>
      <c r="D154" s="936"/>
      <c r="E154" s="937"/>
      <c r="F154" s="937"/>
      <c r="G154" s="937"/>
      <c r="H154" s="937"/>
      <c r="I154" s="378"/>
      <c r="J154" s="264"/>
      <c r="K154" s="264"/>
      <c r="L154" s="264"/>
      <c r="M154" s="264"/>
      <c r="N154" s="264"/>
      <c r="O154" s="264"/>
      <c r="P154" s="277"/>
      <c r="Q154" s="278"/>
    </row>
    <row r="155" spans="1:17" ht="13.95" customHeight="1" x14ac:dyDescent="0.25">
      <c r="A155" s="169"/>
      <c r="B155" s="273"/>
      <c r="C155" s="381" t="s">
        <v>376</v>
      </c>
      <c r="D155" s="936"/>
      <c r="E155" s="937"/>
      <c r="F155" s="937"/>
      <c r="G155" s="937"/>
      <c r="H155" s="937"/>
      <c r="I155" s="378"/>
      <c r="J155" s="264"/>
      <c r="K155" s="264"/>
      <c r="L155" s="264"/>
      <c r="M155" s="264"/>
      <c r="N155" s="264"/>
      <c r="O155" s="264"/>
      <c r="P155" s="277"/>
      <c r="Q155" s="278"/>
    </row>
    <row r="156" spans="1:17" ht="13.95" customHeight="1" x14ac:dyDescent="0.25">
      <c r="A156" s="169"/>
      <c r="B156" s="273"/>
      <c r="C156" s="381" t="s">
        <v>377</v>
      </c>
      <c r="D156" s="936"/>
      <c r="E156" s="937"/>
      <c r="F156" s="937"/>
      <c r="G156" s="937"/>
      <c r="H156" s="937"/>
      <c r="I156" s="378"/>
      <c r="J156" s="264"/>
      <c r="K156" s="264"/>
      <c r="L156" s="264"/>
      <c r="M156" s="264"/>
      <c r="N156" s="264"/>
      <c r="O156" s="264"/>
      <c r="P156" s="277"/>
      <c r="Q156" s="278"/>
    </row>
    <row r="157" spans="1:17" ht="13.95" customHeight="1" x14ac:dyDescent="0.25">
      <c r="A157" s="169"/>
      <c r="B157" s="273"/>
      <c r="C157" s="381" t="s">
        <v>378</v>
      </c>
      <c r="D157" s="936"/>
      <c r="E157" s="937"/>
      <c r="F157" s="937"/>
      <c r="G157" s="937"/>
      <c r="H157" s="937"/>
      <c r="I157" s="378"/>
      <c r="J157" s="264"/>
      <c r="K157" s="264"/>
      <c r="L157" s="264"/>
      <c r="M157" s="264"/>
      <c r="N157" s="264"/>
      <c r="O157" s="264"/>
      <c r="P157" s="277"/>
      <c r="Q157" s="278"/>
    </row>
    <row r="158" spans="1:17" ht="13.95" customHeight="1" x14ac:dyDescent="0.25">
      <c r="A158" s="169"/>
      <c r="B158" s="273"/>
      <c r="C158" s="381" t="s">
        <v>1094</v>
      </c>
      <c r="D158" s="936"/>
      <c r="E158" s="937"/>
      <c r="F158" s="937"/>
      <c r="G158" s="937"/>
      <c r="H158" s="937"/>
      <c r="I158" s="378"/>
      <c r="J158" s="264"/>
      <c r="K158" s="264"/>
      <c r="L158" s="264"/>
      <c r="M158" s="264"/>
      <c r="N158" s="264"/>
      <c r="O158" s="264"/>
      <c r="P158" s="277"/>
      <c r="Q158" s="278"/>
    </row>
    <row r="159" spans="1:17" ht="13.95" customHeight="1" x14ac:dyDescent="0.25">
      <c r="A159" s="169"/>
      <c r="B159" s="273"/>
      <c r="C159" s="381" t="s">
        <v>1095</v>
      </c>
      <c r="D159" s="936"/>
      <c r="E159" s="937"/>
      <c r="F159" s="937"/>
      <c r="G159" s="937"/>
      <c r="H159" s="937"/>
      <c r="I159" s="378"/>
      <c r="J159" s="264"/>
      <c r="K159" s="264"/>
      <c r="L159" s="264"/>
      <c r="M159" s="264"/>
      <c r="N159" s="264"/>
      <c r="O159" s="264"/>
      <c r="P159" s="277"/>
      <c r="Q159" s="278"/>
    </row>
    <row r="160" spans="1:17" ht="13.95" customHeight="1" x14ac:dyDescent="0.25">
      <c r="A160" s="169"/>
      <c r="B160" s="273"/>
      <c r="C160" s="381" t="s">
        <v>1096</v>
      </c>
      <c r="D160" s="936"/>
      <c r="E160" s="937"/>
      <c r="F160" s="937"/>
      <c r="G160" s="937"/>
      <c r="H160" s="937"/>
      <c r="I160" s="378"/>
      <c r="J160" s="264"/>
      <c r="K160" s="264"/>
      <c r="L160" s="264"/>
      <c r="M160" s="264"/>
      <c r="N160" s="264"/>
      <c r="O160" s="264"/>
      <c r="P160" s="277"/>
      <c r="Q160" s="278"/>
    </row>
    <row r="161" spans="1:17" ht="13.95" customHeight="1" x14ac:dyDescent="0.25">
      <c r="A161" s="169"/>
      <c r="B161" s="273"/>
      <c r="C161" s="381" t="s">
        <v>1097</v>
      </c>
      <c r="D161" s="936"/>
      <c r="E161" s="937"/>
      <c r="F161" s="937"/>
      <c r="G161" s="937"/>
      <c r="H161" s="937"/>
      <c r="I161" s="378"/>
      <c r="J161" s="264"/>
      <c r="K161" s="264"/>
      <c r="L161" s="264"/>
      <c r="M161" s="264"/>
      <c r="N161" s="264"/>
      <c r="O161" s="264"/>
      <c r="P161" s="277"/>
      <c r="Q161" s="278"/>
    </row>
    <row r="162" spans="1:17" ht="13.95" customHeight="1" x14ac:dyDescent="0.25">
      <c r="A162" s="169"/>
      <c r="B162" s="273"/>
      <c r="C162" s="381" t="s">
        <v>1098</v>
      </c>
      <c r="D162" s="936"/>
      <c r="E162" s="937"/>
      <c r="F162" s="937"/>
      <c r="G162" s="937"/>
      <c r="H162" s="937"/>
      <c r="I162" s="378"/>
      <c r="J162" s="264"/>
      <c r="K162" s="264"/>
      <c r="L162" s="264"/>
      <c r="M162" s="264"/>
      <c r="N162" s="264"/>
      <c r="O162" s="264"/>
      <c r="P162" s="277"/>
      <c r="Q162" s="278"/>
    </row>
    <row r="163" spans="1:17" ht="13.95" customHeight="1" x14ac:dyDescent="0.25">
      <c r="A163" s="169"/>
      <c r="B163" s="273"/>
      <c r="C163" s="381" t="s">
        <v>1099</v>
      </c>
      <c r="D163" s="936"/>
      <c r="E163" s="937"/>
      <c r="F163" s="937"/>
      <c r="G163" s="937"/>
      <c r="H163" s="937"/>
      <c r="I163" s="378"/>
      <c r="J163" s="264"/>
      <c r="K163" s="264"/>
      <c r="L163" s="264"/>
      <c r="M163" s="264"/>
      <c r="N163" s="264"/>
      <c r="O163" s="264"/>
      <c r="P163" s="277"/>
      <c r="Q163" s="278"/>
    </row>
    <row r="164" spans="1:17" ht="13.95" customHeight="1" x14ac:dyDescent="0.25">
      <c r="A164" s="169"/>
      <c r="B164" s="273"/>
      <c r="C164" s="381" t="s">
        <v>1100</v>
      </c>
      <c r="D164" s="936"/>
      <c r="E164" s="937"/>
      <c r="F164" s="937"/>
      <c r="G164" s="937"/>
      <c r="H164" s="937"/>
      <c r="I164" s="378"/>
      <c r="J164" s="264"/>
      <c r="K164" s="264"/>
      <c r="L164" s="264"/>
      <c r="M164" s="264"/>
      <c r="N164" s="264"/>
      <c r="O164" s="264"/>
      <c r="P164" s="277"/>
      <c r="Q164" s="278"/>
    </row>
    <row r="165" spans="1:17" ht="13.95" customHeight="1" x14ac:dyDescent="0.25">
      <c r="A165" s="169"/>
      <c r="B165" s="273"/>
      <c r="C165" s="381" t="s">
        <v>89</v>
      </c>
      <c r="D165" s="936"/>
      <c r="E165" s="937"/>
      <c r="F165" s="937"/>
      <c r="G165" s="937"/>
      <c r="H165" s="937"/>
      <c r="I165" s="378"/>
      <c r="J165" s="264"/>
      <c r="K165" s="264"/>
      <c r="L165" s="264"/>
      <c r="M165" s="264"/>
      <c r="N165" s="264"/>
      <c r="O165" s="264"/>
      <c r="P165" s="277"/>
      <c r="Q165" s="278"/>
    </row>
    <row r="166" spans="1:17" ht="13.95" customHeight="1" x14ac:dyDescent="0.25">
      <c r="A166" s="169"/>
      <c r="B166" s="273"/>
      <c r="C166" s="381" t="s">
        <v>91</v>
      </c>
      <c r="D166" s="936"/>
      <c r="E166" s="937"/>
      <c r="F166" s="937"/>
      <c r="G166" s="937"/>
      <c r="H166" s="937"/>
      <c r="I166" s="378"/>
      <c r="J166" s="264"/>
      <c r="K166" s="264"/>
      <c r="L166" s="264"/>
      <c r="M166" s="264"/>
      <c r="N166" s="264"/>
      <c r="O166" s="264"/>
      <c r="P166" s="277"/>
      <c r="Q166" s="278"/>
    </row>
    <row r="167" spans="1:17" ht="13.95" customHeight="1" x14ac:dyDescent="0.25">
      <c r="A167" s="169"/>
      <c r="B167" s="273"/>
      <c r="C167" s="381" t="s">
        <v>92</v>
      </c>
      <c r="D167" s="936"/>
      <c r="E167" s="937"/>
      <c r="F167" s="937"/>
      <c r="G167" s="937"/>
      <c r="H167" s="937"/>
      <c r="I167" s="378"/>
      <c r="J167" s="264"/>
      <c r="K167" s="264"/>
      <c r="L167" s="264"/>
      <c r="M167" s="264"/>
      <c r="N167" s="264"/>
      <c r="O167" s="264"/>
      <c r="P167" s="277"/>
      <c r="Q167" s="278"/>
    </row>
    <row r="168" spans="1:17" ht="13.95" customHeight="1" x14ac:dyDescent="0.25">
      <c r="A168" s="169"/>
      <c r="B168" s="273"/>
      <c r="C168" s="381" t="s">
        <v>94</v>
      </c>
      <c r="D168" s="936"/>
      <c r="E168" s="937"/>
      <c r="F168" s="937"/>
      <c r="G168" s="937"/>
      <c r="H168" s="937"/>
      <c r="I168" s="378"/>
      <c r="J168" s="264"/>
      <c r="K168" s="264"/>
      <c r="L168" s="264"/>
      <c r="M168" s="264"/>
      <c r="N168" s="264"/>
      <c r="O168" s="264"/>
      <c r="P168" s="277"/>
      <c r="Q168" s="278"/>
    </row>
    <row r="169" spans="1:17" ht="13.95" customHeight="1" x14ac:dyDescent="0.25">
      <c r="A169" s="169"/>
      <c r="B169" s="273"/>
      <c r="C169" s="381" t="s">
        <v>96</v>
      </c>
      <c r="D169" s="936"/>
      <c r="E169" s="937"/>
      <c r="F169" s="937"/>
      <c r="G169" s="937"/>
      <c r="H169" s="937"/>
      <c r="I169" s="378"/>
      <c r="J169" s="264"/>
      <c r="K169" s="264"/>
      <c r="L169" s="264"/>
      <c r="M169" s="264"/>
      <c r="N169" s="264"/>
      <c r="O169" s="264"/>
      <c r="P169" s="277"/>
      <c r="Q169" s="278"/>
    </row>
    <row r="170" spans="1:17" ht="13.95" customHeight="1" x14ac:dyDescent="0.25">
      <c r="A170" s="169"/>
      <c r="B170" s="273"/>
      <c r="C170" s="381" t="s">
        <v>98</v>
      </c>
      <c r="D170" s="936"/>
      <c r="E170" s="937"/>
      <c r="F170" s="937"/>
      <c r="G170" s="937"/>
      <c r="H170" s="937"/>
      <c r="I170" s="378"/>
      <c r="J170" s="264"/>
      <c r="K170" s="264"/>
      <c r="L170" s="264"/>
      <c r="M170" s="264"/>
      <c r="N170" s="264"/>
      <c r="O170" s="264"/>
      <c r="P170" s="277"/>
      <c r="Q170" s="278"/>
    </row>
    <row r="171" spans="1:17" ht="13.95" customHeight="1" x14ac:dyDescent="0.25">
      <c r="A171" s="169"/>
      <c r="B171" s="273"/>
      <c r="C171" s="381" t="s">
        <v>1025</v>
      </c>
      <c r="D171" s="936"/>
      <c r="E171" s="937"/>
      <c r="F171" s="937"/>
      <c r="G171" s="937"/>
      <c r="H171" s="937"/>
      <c r="I171" s="378"/>
      <c r="J171" s="264"/>
      <c r="K171" s="264"/>
      <c r="L171" s="264"/>
      <c r="M171" s="264"/>
      <c r="N171" s="264"/>
      <c r="O171" s="264"/>
      <c r="P171" s="277"/>
      <c r="Q171" s="278"/>
    </row>
    <row r="172" spans="1:17" ht="13.95" customHeight="1" x14ac:dyDescent="0.25">
      <c r="A172" s="169"/>
      <c r="B172" s="273"/>
      <c r="C172" s="381" t="s">
        <v>1026</v>
      </c>
      <c r="D172" s="936"/>
      <c r="E172" s="937"/>
      <c r="F172" s="937"/>
      <c r="G172" s="937"/>
      <c r="H172" s="937"/>
      <c r="I172" s="378"/>
      <c r="J172" s="264"/>
      <c r="K172" s="264"/>
      <c r="L172" s="264"/>
      <c r="M172" s="264"/>
      <c r="N172" s="264"/>
      <c r="O172" s="264"/>
      <c r="P172" s="277"/>
      <c r="Q172" s="278"/>
    </row>
    <row r="173" spans="1:17" ht="13.95" customHeight="1" x14ac:dyDescent="0.25">
      <c r="A173" s="169"/>
      <c r="B173" s="273"/>
      <c r="C173" s="381" t="s">
        <v>1027</v>
      </c>
      <c r="D173" s="936"/>
      <c r="E173" s="937"/>
      <c r="F173" s="937"/>
      <c r="G173" s="937"/>
      <c r="H173" s="937"/>
      <c r="I173" s="378"/>
      <c r="J173" s="264"/>
      <c r="K173" s="264"/>
      <c r="L173" s="264"/>
      <c r="M173" s="264"/>
      <c r="N173" s="264"/>
      <c r="O173" s="264"/>
      <c r="P173" s="277"/>
      <c r="Q173" s="278"/>
    </row>
    <row r="174" spans="1:17" ht="13.95" customHeight="1" x14ac:dyDescent="0.25">
      <c r="A174" s="169"/>
      <c r="B174" s="273"/>
      <c r="C174" s="381" t="s">
        <v>100</v>
      </c>
      <c r="D174" s="936"/>
      <c r="E174" s="937"/>
      <c r="F174" s="937"/>
      <c r="G174" s="937"/>
      <c r="H174" s="937"/>
      <c r="I174" s="378"/>
      <c r="J174" s="264"/>
      <c r="K174" s="264"/>
      <c r="L174" s="264"/>
      <c r="M174" s="264"/>
      <c r="N174" s="264"/>
      <c r="O174" s="264"/>
      <c r="P174" s="277"/>
      <c r="Q174" s="278"/>
    </row>
    <row r="175" spans="1:17" ht="13.95" customHeight="1" x14ac:dyDescent="0.25">
      <c r="A175" s="169"/>
      <c r="B175" s="273"/>
      <c r="C175" s="381" t="s">
        <v>101</v>
      </c>
      <c r="D175" s="936"/>
      <c r="E175" s="937"/>
      <c r="F175" s="937"/>
      <c r="G175" s="937"/>
      <c r="H175" s="937"/>
      <c r="I175" s="378"/>
      <c r="J175" s="264"/>
      <c r="K175" s="264"/>
      <c r="L175" s="264"/>
      <c r="M175" s="264"/>
      <c r="N175" s="264"/>
      <c r="O175" s="264"/>
      <c r="P175" s="277"/>
      <c r="Q175" s="278"/>
    </row>
    <row r="176" spans="1:17" ht="13.95" customHeight="1" x14ac:dyDescent="0.25">
      <c r="A176" s="169"/>
      <c r="B176" s="273"/>
      <c r="C176" s="381" t="s">
        <v>103</v>
      </c>
      <c r="D176" s="936"/>
      <c r="E176" s="937"/>
      <c r="F176" s="937"/>
      <c r="G176" s="937"/>
      <c r="H176" s="937"/>
      <c r="I176" s="378"/>
      <c r="J176" s="264"/>
      <c r="K176" s="264"/>
      <c r="L176" s="264"/>
      <c r="M176" s="264"/>
      <c r="N176" s="264"/>
      <c r="O176" s="264"/>
      <c r="P176" s="277"/>
      <c r="Q176" s="278"/>
    </row>
    <row r="177" spans="1:17" ht="13.95" customHeight="1" x14ac:dyDescent="0.25">
      <c r="A177" s="169"/>
      <c r="B177" s="273"/>
      <c r="C177" s="381" t="s">
        <v>105</v>
      </c>
      <c r="D177" s="936"/>
      <c r="E177" s="937"/>
      <c r="F177" s="937"/>
      <c r="G177" s="937"/>
      <c r="H177" s="937"/>
      <c r="I177" s="378"/>
      <c r="J177" s="264"/>
      <c r="K177" s="264"/>
      <c r="L177" s="264"/>
      <c r="M177" s="264"/>
      <c r="N177" s="264"/>
      <c r="O177" s="264"/>
      <c r="P177" s="277"/>
      <c r="Q177" s="278"/>
    </row>
    <row r="178" spans="1:17" ht="13.95" customHeight="1" x14ac:dyDescent="0.25">
      <c r="A178" s="169"/>
      <c r="B178" s="273"/>
      <c r="C178" s="381" t="s">
        <v>107</v>
      </c>
      <c r="D178" s="936"/>
      <c r="E178" s="937"/>
      <c r="F178" s="937"/>
      <c r="G178" s="937"/>
      <c r="H178" s="937"/>
      <c r="I178" s="378"/>
      <c r="J178" s="264"/>
      <c r="K178" s="264"/>
      <c r="L178" s="264"/>
      <c r="M178" s="264"/>
      <c r="N178" s="264"/>
      <c r="O178" s="264"/>
      <c r="P178" s="277"/>
      <c r="Q178" s="278"/>
    </row>
    <row r="179" spans="1:17" ht="13.95" customHeight="1" x14ac:dyDescent="0.25">
      <c r="A179" s="169"/>
      <c r="B179" s="273"/>
      <c r="C179" s="381" t="s">
        <v>108</v>
      </c>
      <c r="D179" s="936"/>
      <c r="E179" s="937"/>
      <c r="F179" s="937"/>
      <c r="G179" s="937"/>
      <c r="H179" s="937"/>
      <c r="I179" s="378"/>
      <c r="J179" s="264"/>
      <c r="K179" s="264"/>
      <c r="L179" s="264"/>
      <c r="M179" s="264"/>
      <c r="N179" s="264"/>
      <c r="O179" s="264"/>
      <c r="P179" s="277"/>
      <c r="Q179" s="278"/>
    </row>
    <row r="180" spans="1:17" ht="13.95" customHeight="1" x14ac:dyDescent="0.25">
      <c r="A180" s="169"/>
      <c r="B180" s="273"/>
      <c r="C180" s="381" t="s">
        <v>1028</v>
      </c>
      <c r="D180" s="936"/>
      <c r="E180" s="937"/>
      <c r="F180" s="937"/>
      <c r="G180" s="937"/>
      <c r="H180" s="937"/>
      <c r="I180" s="378"/>
      <c r="J180" s="264"/>
      <c r="K180" s="264"/>
      <c r="L180" s="264"/>
      <c r="M180" s="264"/>
      <c r="N180" s="264"/>
      <c r="O180" s="264"/>
      <c r="P180" s="277"/>
      <c r="Q180" s="278"/>
    </row>
    <row r="181" spans="1:17" ht="13.95" customHeight="1" x14ac:dyDescent="0.25">
      <c r="A181" s="169"/>
      <c r="B181" s="273"/>
      <c r="C181" s="381" t="s">
        <v>1029</v>
      </c>
      <c r="D181" s="936"/>
      <c r="E181" s="937"/>
      <c r="F181" s="937"/>
      <c r="G181" s="937"/>
      <c r="H181" s="937"/>
      <c r="I181" s="378"/>
      <c r="J181" s="264"/>
      <c r="K181" s="264"/>
      <c r="L181" s="264"/>
      <c r="M181" s="264"/>
      <c r="N181" s="264"/>
      <c r="O181" s="264"/>
      <c r="P181" s="277"/>
      <c r="Q181" s="278"/>
    </row>
    <row r="182" spans="1:17" ht="13.95" customHeight="1" x14ac:dyDescent="0.25">
      <c r="A182" s="169"/>
      <c r="B182" s="273"/>
      <c r="C182" s="381" t="s">
        <v>1030</v>
      </c>
      <c r="D182" s="936"/>
      <c r="E182" s="937"/>
      <c r="F182" s="937"/>
      <c r="G182" s="937"/>
      <c r="H182" s="937"/>
      <c r="I182" s="378"/>
      <c r="J182" s="264"/>
      <c r="K182" s="264"/>
      <c r="L182" s="264"/>
      <c r="M182" s="264"/>
      <c r="N182" s="264"/>
      <c r="O182" s="264"/>
      <c r="P182" s="277"/>
      <c r="Q182" s="278"/>
    </row>
    <row r="183" spans="1:17" ht="13.95" customHeight="1" x14ac:dyDescent="0.25">
      <c r="A183" s="169"/>
      <c r="B183" s="273"/>
      <c r="C183" s="381" t="s">
        <v>111</v>
      </c>
      <c r="D183" s="936"/>
      <c r="E183" s="937"/>
      <c r="F183" s="937"/>
      <c r="G183" s="937"/>
      <c r="H183" s="937"/>
      <c r="I183" s="378"/>
      <c r="J183" s="264"/>
      <c r="K183" s="264"/>
      <c r="L183" s="264"/>
      <c r="M183" s="264"/>
      <c r="N183" s="264"/>
      <c r="O183" s="264"/>
      <c r="P183" s="277"/>
      <c r="Q183" s="278"/>
    </row>
    <row r="184" spans="1:17" ht="13.95" customHeight="1" x14ac:dyDescent="0.25">
      <c r="A184" s="169"/>
      <c r="B184" s="273"/>
      <c r="C184" s="381" t="s">
        <v>113</v>
      </c>
      <c r="D184" s="936"/>
      <c r="E184" s="937"/>
      <c r="F184" s="937"/>
      <c r="G184" s="937"/>
      <c r="H184" s="937"/>
      <c r="I184" s="378"/>
      <c r="J184" s="264"/>
      <c r="K184" s="264"/>
      <c r="L184" s="264"/>
      <c r="M184" s="264"/>
      <c r="N184" s="264"/>
      <c r="O184" s="264"/>
      <c r="P184" s="277"/>
      <c r="Q184" s="278"/>
    </row>
    <row r="185" spans="1:17" ht="13.95" customHeight="1" x14ac:dyDescent="0.25">
      <c r="A185" s="169"/>
      <c r="B185" s="273"/>
      <c r="C185" s="381" t="s">
        <v>115</v>
      </c>
      <c r="D185" s="936"/>
      <c r="E185" s="937"/>
      <c r="F185" s="937"/>
      <c r="G185" s="937"/>
      <c r="H185" s="937"/>
      <c r="I185" s="378"/>
      <c r="J185" s="264"/>
      <c r="K185" s="264"/>
      <c r="L185" s="264"/>
      <c r="M185" s="264"/>
      <c r="N185" s="264"/>
      <c r="O185" s="264"/>
      <c r="P185" s="277"/>
      <c r="Q185" s="278"/>
    </row>
    <row r="186" spans="1:17" ht="13.95" customHeight="1" x14ac:dyDescent="0.25">
      <c r="A186" s="169"/>
      <c r="B186" s="273"/>
      <c r="C186" s="381" t="s">
        <v>117</v>
      </c>
      <c r="D186" s="936"/>
      <c r="E186" s="937"/>
      <c r="F186" s="937"/>
      <c r="G186" s="937"/>
      <c r="H186" s="937"/>
      <c r="I186" s="378"/>
      <c r="J186" s="264"/>
      <c r="K186" s="264"/>
      <c r="L186" s="264"/>
      <c r="M186" s="264"/>
      <c r="N186" s="264"/>
      <c r="O186" s="264"/>
      <c r="P186" s="277"/>
      <c r="Q186" s="278"/>
    </row>
    <row r="187" spans="1:17" ht="13.95" customHeight="1" x14ac:dyDescent="0.25">
      <c r="A187" s="169"/>
      <c r="B187" s="273"/>
      <c r="C187" s="381" t="s">
        <v>119</v>
      </c>
      <c r="D187" s="936"/>
      <c r="E187" s="937"/>
      <c r="F187" s="937"/>
      <c r="G187" s="937"/>
      <c r="H187" s="937"/>
      <c r="I187" s="378"/>
      <c r="J187" s="264"/>
      <c r="K187" s="264"/>
      <c r="L187" s="264"/>
      <c r="M187" s="264"/>
      <c r="N187" s="264"/>
      <c r="O187" s="264"/>
      <c r="P187" s="277"/>
      <c r="Q187" s="278"/>
    </row>
    <row r="188" spans="1:17" ht="13.95" customHeight="1" x14ac:dyDescent="0.25">
      <c r="A188" s="169"/>
      <c r="B188" s="273"/>
      <c r="C188" s="381" t="s">
        <v>120</v>
      </c>
      <c r="D188" s="936"/>
      <c r="E188" s="937"/>
      <c r="F188" s="937"/>
      <c r="G188" s="937"/>
      <c r="H188" s="937"/>
      <c r="I188" s="378"/>
      <c r="J188" s="264"/>
      <c r="K188" s="264"/>
      <c r="L188" s="264"/>
      <c r="M188" s="264"/>
      <c r="N188" s="264"/>
      <c r="O188" s="264"/>
      <c r="P188" s="277"/>
      <c r="Q188" s="278"/>
    </row>
    <row r="189" spans="1:17" ht="13.95" customHeight="1" x14ac:dyDescent="0.25">
      <c r="A189" s="169"/>
      <c r="B189" s="273"/>
      <c r="C189" s="381" t="s">
        <v>122</v>
      </c>
      <c r="D189" s="936"/>
      <c r="E189" s="937"/>
      <c r="F189" s="937"/>
      <c r="G189" s="937"/>
      <c r="H189" s="937"/>
      <c r="I189" s="378"/>
      <c r="J189" s="264"/>
      <c r="K189" s="264"/>
      <c r="L189" s="264"/>
      <c r="M189" s="264"/>
      <c r="N189" s="264"/>
      <c r="O189" s="264"/>
      <c r="P189" s="277"/>
      <c r="Q189" s="278"/>
    </row>
    <row r="190" spans="1:17" ht="13.95" customHeight="1" x14ac:dyDescent="0.25">
      <c r="A190" s="169"/>
      <c r="B190" s="273"/>
      <c r="C190" s="381" t="s">
        <v>125</v>
      </c>
      <c r="D190" s="936"/>
      <c r="E190" s="937"/>
      <c r="F190" s="937"/>
      <c r="G190" s="937"/>
      <c r="H190" s="937"/>
      <c r="I190" s="378"/>
      <c r="J190" s="264"/>
      <c r="K190" s="264"/>
      <c r="L190" s="264"/>
      <c r="M190" s="264"/>
      <c r="N190" s="264"/>
      <c r="O190" s="264"/>
      <c r="P190" s="277"/>
      <c r="Q190" s="278"/>
    </row>
    <row r="191" spans="1:17" ht="13.95" customHeight="1" x14ac:dyDescent="0.25">
      <c r="A191" s="169"/>
      <c r="B191" s="273"/>
      <c r="C191" s="381" t="s">
        <v>128</v>
      </c>
      <c r="D191" s="936"/>
      <c r="E191" s="937"/>
      <c r="F191" s="937"/>
      <c r="G191" s="937"/>
      <c r="H191" s="937"/>
      <c r="I191" s="378"/>
      <c r="J191" s="264"/>
      <c r="K191" s="264"/>
      <c r="L191" s="264"/>
      <c r="M191" s="264"/>
      <c r="N191" s="264"/>
      <c r="O191" s="264"/>
      <c r="P191" s="277"/>
      <c r="Q191" s="278"/>
    </row>
    <row r="192" spans="1:17" ht="13.95" customHeight="1" x14ac:dyDescent="0.25">
      <c r="A192" s="169"/>
      <c r="B192" s="273"/>
      <c r="C192" s="381" t="s">
        <v>131</v>
      </c>
      <c r="D192" s="936"/>
      <c r="E192" s="937"/>
      <c r="F192" s="937"/>
      <c r="G192" s="937"/>
      <c r="H192" s="937"/>
      <c r="I192" s="378"/>
      <c r="J192" s="264"/>
      <c r="K192" s="264"/>
      <c r="L192" s="264"/>
      <c r="M192" s="264"/>
      <c r="N192" s="264"/>
      <c r="O192" s="264"/>
      <c r="P192" s="277"/>
      <c r="Q192" s="278"/>
    </row>
    <row r="193" spans="1:17" ht="13.95" customHeight="1" x14ac:dyDescent="0.25">
      <c r="A193" s="169"/>
      <c r="B193" s="273"/>
      <c r="C193" s="381" t="s">
        <v>134</v>
      </c>
      <c r="D193" s="936"/>
      <c r="E193" s="937"/>
      <c r="F193" s="937"/>
      <c r="G193" s="937"/>
      <c r="H193" s="937"/>
      <c r="I193" s="378"/>
      <c r="J193" s="264"/>
      <c r="K193" s="264"/>
      <c r="L193" s="264"/>
      <c r="M193" s="264"/>
      <c r="N193" s="264"/>
      <c r="O193" s="264"/>
      <c r="P193" s="277"/>
      <c r="Q193" s="278"/>
    </row>
    <row r="194" spans="1:17" ht="13.95" customHeight="1" x14ac:dyDescent="0.25">
      <c r="A194" s="169"/>
      <c r="B194" s="273"/>
      <c r="C194" s="381" t="s">
        <v>136</v>
      </c>
      <c r="D194" s="936"/>
      <c r="E194" s="937"/>
      <c r="F194" s="937"/>
      <c r="G194" s="937"/>
      <c r="H194" s="937"/>
      <c r="I194" s="378"/>
      <c r="J194" s="264"/>
      <c r="K194" s="264"/>
      <c r="L194" s="264"/>
      <c r="M194" s="264"/>
      <c r="N194" s="264"/>
      <c r="O194" s="264"/>
      <c r="P194" s="277"/>
      <c r="Q194" s="278"/>
    </row>
    <row r="195" spans="1:17" ht="13.95" customHeight="1" x14ac:dyDescent="0.25">
      <c r="A195" s="169"/>
      <c r="B195" s="273"/>
      <c r="C195" s="381" t="s">
        <v>139</v>
      </c>
      <c r="D195" s="936"/>
      <c r="E195" s="937"/>
      <c r="F195" s="937"/>
      <c r="G195" s="937"/>
      <c r="H195" s="937"/>
      <c r="I195" s="378"/>
      <c r="J195" s="264"/>
      <c r="K195" s="264"/>
      <c r="L195" s="264"/>
      <c r="M195" s="264"/>
      <c r="N195" s="264"/>
      <c r="O195" s="264"/>
      <c r="P195" s="277"/>
      <c r="Q195" s="278"/>
    </row>
    <row r="196" spans="1:17" ht="13.95" customHeight="1" x14ac:dyDescent="0.25">
      <c r="A196" s="169"/>
      <c r="B196" s="273"/>
      <c r="C196" s="381" t="s">
        <v>142</v>
      </c>
      <c r="D196" s="936"/>
      <c r="E196" s="937"/>
      <c r="F196" s="937"/>
      <c r="G196" s="937"/>
      <c r="H196" s="937"/>
      <c r="I196" s="378"/>
      <c r="J196" s="264"/>
      <c r="K196" s="264"/>
      <c r="L196" s="264"/>
      <c r="M196" s="264"/>
      <c r="N196" s="264"/>
      <c r="O196" s="264"/>
      <c r="P196" s="277"/>
      <c r="Q196" s="278"/>
    </row>
    <row r="197" spans="1:17" ht="13.95" customHeight="1" x14ac:dyDescent="0.25">
      <c r="A197" s="169"/>
      <c r="B197" s="273"/>
      <c r="C197" s="381" t="s">
        <v>145</v>
      </c>
      <c r="D197" s="936"/>
      <c r="E197" s="937"/>
      <c r="F197" s="937"/>
      <c r="G197" s="937"/>
      <c r="H197" s="937"/>
      <c r="I197" s="378"/>
      <c r="J197" s="264"/>
      <c r="K197" s="264"/>
      <c r="L197" s="264"/>
      <c r="M197" s="264"/>
      <c r="N197" s="264"/>
      <c r="O197" s="264"/>
      <c r="P197" s="277"/>
      <c r="Q197" s="278"/>
    </row>
    <row r="198" spans="1:17" ht="13.95" customHeight="1" x14ac:dyDescent="0.25">
      <c r="A198" s="169"/>
      <c r="B198" s="273"/>
      <c r="C198" s="381" t="s">
        <v>148</v>
      </c>
      <c r="D198" s="936"/>
      <c r="E198" s="937"/>
      <c r="F198" s="937"/>
      <c r="G198" s="937"/>
      <c r="H198" s="937"/>
      <c r="I198" s="378"/>
      <c r="J198" s="264"/>
      <c r="K198" s="264"/>
      <c r="L198" s="264"/>
      <c r="M198" s="264"/>
      <c r="N198" s="264"/>
      <c r="O198" s="264"/>
      <c r="P198" s="277"/>
      <c r="Q198" s="278"/>
    </row>
    <row r="199" spans="1:17" ht="13.95" customHeight="1" x14ac:dyDescent="0.25">
      <c r="A199" s="169"/>
      <c r="B199" s="273"/>
      <c r="C199" s="381" t="s">
        <v>150</v>
      </c>
      <c r="D199" s="936"/>
      <c r="E199" s="937"/>
      <c r="F199" s="937"/>
      <c r="G199" s="937"/>
      <c r="H199" s="937"/>
      <c r="I199" s="378"/>
      <c r="J199" s="264"/>
      <c r="K199" s="264"/>
      <c r="L199" s="264"/>
      <c r="M199" s="264"/>
      <c r="N199" s="264"/>
      <c r="O199" s="264"/>
      <c r="P199" s="277"/>
      <c r="Q199" s="278"/>
    </row>
    <row r="200" spans="1:17" ht="13.95" customHeight="1" x14ac:dyDescent="0.25">
      <c r="A200" s="169"/>
      <c r="B200" s="273"/>
      <c r="C200" s="381" t="s">
        <v>152</v>
      </c>
      <c r="D200" s="936"/>
      <c r="E200" s="937"/>
      <c r="F200" s="937"/>
      <c r="G200" s="937"/>
      <c r="H200" s="937"/>
      <c r="I200" s="378"/>
      <c r="J200" s="264"/>
      <c r="K200" s="264"/>
      <c r="L200" s="264"/>
      <c r="M200" s="264"/>
      <c r="N200" s="264"/>
      <c r="O200" s="264"/>
      <c r="P200" s="277"/>
      <c r="Q200" s="278"/>
    </row>
    <row r="201" spans="1:17" ht="13.95" customHeight="1" x14ac:dyDescent="0.25">
      <c r="A201" s="169"/>
      <c r="B201" s="273"/>
      <c r="C201" s="381" t="s">
        <v>419</v>
      </c>
      <c r="D201" s="936"/>
      <c r="E201" s="937"/>
      <c r="F201" s="937"/>
      <c r="G201" s="937"/>
      <c r="H201" s="937"/>
      <c r="I201" s="378"/>
      <c r="J201" s="264"/>
      <c r="K201" s="264"/>
      <c r="L201" s="264"/>
      <c r="M201" s="264"/>
      <c r="N201" s="264"/>
      <c r="O201" s="264"/>
      <c r="P201" s="277"/>
      <c r="Q201" s="278"/>
    </row>
    <row r="202" spans="1:17" ht="13.95" customHeight="1" x14ac:dyDescent="0.25">
      <c r="A202" s="169"/>
      <c r="B202" s="273"/>
      <c r="C202" s="381" t="s">
        <v>420</v>
      </c>
      <c r="D202" s="936"/>
      <c r="E202" s="937"/>
      <c r="F202" s="937"/>
      <c r="G202" s="937"/>
      <c r="H202" s="937"/>
      <c r="I202" s="378"/>
      <c r="J202" s="264"/>
      <c r="K202" s="264"/>
      <c r="L202" s="264"/>
      <c r="M202" s="264"/>
      <c r="N202" s="264"/>
      <c r="O202" s="264"/>
      <c r="P202" s="277"/>
      <c r="Q202" s="278"/>
    </row>
    <row r="203" spans="1:17" ht="13.95" customHeight="1" x14ac:dyDescent="0.25">
      <c r="A203" s="169"/>
      <c r="B203" s="273"/>
      <c r="C203" s="381" t="s">
        <v>421</v>
      </c>
      <c r="D203" s="936"/>
      <c r="E203" s="937"/>
      <c r="F203" s="937"/>
      <c r="G203" s="937"/>
      <c r="H203" s="937"/>
      <c r="I203" s="378"/>
      <c r="J203" s="264"/>
      <c r="K203" s="264"/>
      <c r="L203" s="264"/>
      <c r="M203" s="264"/>
      <c r="N203" s="264"/>
      <c r="O203" s="264"/>
      <c r="P203" s="277"/>
      <c r="Q203" s="278"/>
    </row>
    <row r="204" spans="1:17" ht="13.95" customHeight="1" x14ac:dyDescent="0.25">
      <c r="A204" s="169"/>
      <c r="B204" s="273"/>
      <c r="C204" s="381" t="s">
        <v>422</v>
      </c>
      <c r="D204" s="936"/>
      <c r="E204" s="937"/>
      <c r="F204" s="937"/>
      <c r="G204" s="937"/>
      <c r="H204" s="937"/>
      <c r="I204" s="378"/>
      <c r="J204" s="264"/>
      <c r="K204" s="264"/>
      <c r="L204" s="264"/>
      <c r="M204" s="264"/>
      <c r="N204" s="264"/>
      <c r="O204" s="264"/>
      <c r="P204" s="277"/>
      <c r="Q204" s="278"/>
    </row>
    <row r="205" spans="1:17" ht="13.95" customHeight="1" x14ac:dyDescent="0.25">
      <c r="A205" s="169"/>
      <c r="B205" s="273"/>
      <c r="C205" s="381" t="s">
        <v>423</v>
      </c>
      <c r="D205" s="936"/>
      <c r="E205" s="937"/>
      <c r="F205" s="937"/>
      <c r="G205" s="937"/>
      <c r="H205" s="937"/>
      <c r="I205" s="378"/>
      <c r="J205" s="264"/>
      <c r="K205" s="264"/>
      <c r="L205" s="264"/>
      <c r="M205" s="264"/>
      <c r="N205" s="264"/>
      <c r="O205" s="264"/>
      <c r="P205" s="277"/>
      <c r="Q205" s="278"/>
    </row>
    <row r="206" spans="1:17" ht="13.95" customHeight="1" x14ac:dyDescent="0.25">
      <c r="A206" s="169"/>
      <c r="B206" s="273"/>
      <c r="C206" s="381" t="s">
        <v>424</v>
      </c>
      <c r="D206" s="936"/>
      <c r="E206" s="937"/>
      <c r="F206" s="937"/>
      <c r="G206" s="937"/>
      <c r="H206" s="937"/>
      <c r="I206" s="378"/>
      <c r="J206" s="264"/>
      <c r="K206" s="264"/>
      <c r="L206" s="264"/>
      <c r="M206" s="264"/>
      <c r="N206" s="264"/>
      <c r="O206" s="264"/>
      <c r="P206" s="277"/>
      <c r="Q206" s="278"/>
    </row>
    <row r="207" spans="1:17" ht="13.95" customHeight="1" x14ac:dyDescent="0.25">
      <c r="A207" s="169"/>
      <c r="B207" s="273"/>
      <c r="C207" s="381" t="s">
        <v>425</v>
      </c>
      <c r="D207" s="936"/>
      <c r="E207" s="937"/>
      <c r="F207" s="937"/>
      <c r="G207" s="937"/>
      <c r="H207" s="937"/>
      <c r="I207" s="378"/>
      <c r="J207" s="264"/>
      <c r="K207" s="264"/>
      <c r="L207" s="264"/>
      <c r="M207" s="264"/>
      <c r="N207" s="264"/>
      <c r="O207" s="264"/>
      <c r="P207" s="277"/>
      <c r="Q207" s="278"/>
    </row>
    <row r="208" spans="1:17" ht="13.95" customHeight="1" x14ac:dyDescent="0.25">
      <c r="A208" s="169"/>
      <c r="B208" s="273"/>
      <c r="C208" s="381" t="s">
        <v>426</v>
      </c>
      <c r="D208" s="936"/>
      <c r="E208" s="937"/>
      <c r="F208" s="937"/>
      <c r="G208" s="937"/>
      <c r="H208" s="937"/>
      <c r="I208" s="378"/>
      <c r="J208" s="264"/>
      <c r="K208" s="264"/>
      <c r="L208" s="264"/>
      <c r="M208" s="264"/>
      <c r="N208" s="264"/>
      <c r="O208" s="264"/>
      <c r="P208" s="277"/>
      <c r="Q208" s="278"/>
    </row>
    <row r="209" spans="1:17" ht="13.95" customHeight="1" x14ac:dyDescent="0.25">
      <c r="A209" s="169"/>
      <c r="B209" s="273"/>
      <c r="C209" s="381" t="s">
        <v>427</v>
      </c>
      <c r="D209" s="936"/>
      <c r="E209" s="937"/>
      <c r="F209" s="937"/>
      <c r="G209" s="937"/>
      <c r="H209" s="937"/>
      <c r="I209" s="378"/>
      <c r="J209" s="264"/>
      <c r="K209" s="264"/>
      <c r="L209" s="264"/>
      <c r="M209" s="264"/>
      <c r="N209" s="264"/>
      <c r="O209" s="264"/>
      <c r="P209" s="277"/>
      <c r="Q209" s="278"/>
    </row>
    <row r="210" spans="1:17" ht="13.95" customHeight="1" x14ac:dyDescent="0.25">
      <c r="A210" s="169"/>
      <c r="B210" s="273"/>
      <c r="C210" s="381" t="s">
        <v>428</v>
      </c>
      <c r="D210" s="936"/>
      <c r="E210" s="937"/>
      <c r="F210" s="937"/>
      <c r="G210" s="937"/>
      <c r="H210" s="937"/>
      <c r="I210" s="378"/>
      <c r="J210" s="264"/>
      <c r="K210" s="264"/>
      <c r="L210" s="264"/>
      <c r="M210" s="264"/>
      <c r="N210" s="264"/>
      <c r="O210" s="264"/>
      <c r="P210" s="277"/>
      <c r="Q210" s="278"/>
    </row>
    <row r="211" spans="1:17" ht="13.95" customHeight="1" x14ac:dyDescent="0.25">
      <c r="A211" s="169"/>
      <c r="B211" s="273"/>
      <c r="C211" s="381" t="s">
        <v>429</v>
      </c>
      <c r="D211" s="936"/>
      <c r="E211" s="937"/>
      <c r="F211" s="937"/>
      <c r="G211" s="937"/>
      <c r="H211" s="937"/>
      <c r="I211" s="378"/>
      <c r="J211" s="264"/>
      <c r="K211" s="264"/>
      <c r="L211" s="264"/>
      <c r="M211" s="264"/>
      <c r="N211" s="264"/>
      <c r="O211" s="264"/>
      <c r="P211" s="277"/>
      <c r="Q211" s="278"/>
    </row>
    <row r="212" spans="1:17" ht="13.95" customHeight="1" x14ac:dyDescent="0.25">
      <c r="A212" s="169"/>
      <c r="B212" s="273"/>
      <c r="C212" s="381" t="s">
        <v>430</v>
      </c>
      <c r="D212" s="936"/>
      <c r="E212" s="937"/>
      <c r="F212" s="937"/>
      <c r="G212" s="937"/>
      <c r="H212" s="937"/>
      <c r="I212" s="378"/>
      <c r="J212" s="264"/>
      <c r="K212" s="264"/>
      <c r="L212" s="264"/>
      <c r="M212" s="264"/>
      <c r="N212" s="264"/>
      <c r="O212" s="264"/>
      <c r="P212" s="277"/>
      <c r="Q212" s="278"/>
    </row>
    <row r="213" spans="1:17" ht="13.95" customHeight="1" x14ac:dyDescent="0.25">
      <c r="A213" s="169"/>
      <c r="B213" s="273"/>
      <c r="C213" s="381" t="s">
        <v>431</v>
      </c>
      <c r="D213" s="936"/>
      <c r="E213" s="937"/>
      <c r="F213" s="937"/>
      <c r="G213" s="937"/>
      <c r="H213" s="937"/>
      <c r="I213" s="378"/>
      <c r="J213" s="264"/>
      <c r="K213" s="264"/>
      <c r="L213" s="264"/>
      <c r="M213" s="264"/>
      <c r="N213" s="264"/>
      <c r="O213" s="264"/>
      <c r="P213" s="277"/>
      <c r="Q213" s="278"/>
    </row>
    <row r="214" spans="1:17" ht="13.95" customHeight="1" x14ac:dyDescent="0.25">
      <c r="A214" s="169"/>
      <c r="B214" s="273"/>
      <c r="C214" s="381" t="s">
        <v>432</v>
      </c>
      <c r="D214" s="936"/>
      <c r="E214" s="937"/>
      <c r="F214" s="937"/>
      <c r="G214" s="937"/>
      <c r="H214" s="937"/>
      <c r="I214" s="378"/>
      <c r="J214" s="264"/>
      <c r="K214" s="264"/>
      <c r="L214" s="264"/>
      <c r="M214" s="264"/>
      <c r="N214" s="264"/>
      <c r="O214" s="264"/>
      <c r="P214" s="277"/>
      <c r="Q214" s="278"/>
    </row>
    <row r="215" spans="1:17" ht="13.95" customHeight="1" x14ac:dyDescent="0.25">
      <c r="A215" s="169"/>
      <c r="B215" s="273"/>
      <c r="C215" s="381" t="s">
        <v>433</v>
      </c>
      <c r="D215" s="936"/>
      <c r="E215" s="937"/>
      <c r="F215" s="937"/>
      <c r="G215" s="937"/>
      <c r="H215" s="937"/>
      <c r="I215" s="378"/>
      <c r="J215" s="264"/>
      <c r="K215" s="264"/>
      <c r="L215" s="264"/>
      <c r="M215" s="264"/>
      <c r="N215" s="264"/>
      <c r="O215" s="264"/>
      <c r="P215" s="277"/>
      <c r="Q215" s="278"/>
    </row>
    <row r="216" spans="1:17" ht="13.95" customHeight="1" x14ac:dyDescent="0.25">
      <c r="A216" s="169"/>
      <c r="B216" s="273"/>
      <c r="C216" s="381" t="s">
        <v>434</v>
      </c>
      <c r="D216" s="936"/>
      <c r="E216" s="937"/>
      <c r="F216" s="937"/>
      <c r="G216" s="937"/>
      <c r="H216" s="937"/>
      <c r="I216" s="378"/>
      <c r="J216" s="264"/>
      <c r="K216" s="264"/>
      <c r="L216" s="264"/>
      <c r="M216" s="264"/>
      <c r="N216" s="264"/>
      <c r="O216" s="264"/>
      <c r="P216" s="277"/>
      <c r="Q216" s="278"/>
    </row>
    <row r="217" spans="1:17" ht="13.95" customHeight="1" x14ac:dyDescent="0.25">
      <c r="A217" s="169"/>
      <c r="B217" s="273"/>
      <c r="C217" s="381" t="s">
        <v>435</v>
      </c>
      <c r="D217" s="936"/>
      <c r="E217" s="937"/>
      <c r="F217" s="937"/>
      <c r="G217" s="937"/>
      <c r="H217" s="937"/>
      <c r="I217" s="378"/>
      <c r="J217" s="264"/>
      <c r="K217" s="264"/>
      <c r="L217" s="264"/>
      <c r="M217" s="264"/>
      <c r="N217" s="264"/>
      <c r="O217" s="264"/>
      <c r="P217" s="277"/>
      <c r="Q217" s="278"/>
    </row>
    <row r="218" spans="1:17" ht="13.95" customHeight="1" x14ac:dyDescent="0.25">
      <c r="A218" s="169"/>
      <c r="B218" s="273"/>
      <c r="C218" s="381" t="s">
        <v>436</v>
      </c>
      <c r="D218" s="936"/>
      <c r="E218" s="937"/>
      <c r="F218" s="937"/>
      <c r="G218" s="937"/>
      <c r="H218" s="937"/>
      <c r="I218" s="378"/>
      <c r="J218" s="264"/>
      <c r="K218" s="264"/>
      <c r="L218" s="264"/>
      <c r="M218" s="264"/>
      <c r="N218" s="264"/>
      <c r="O218" s="264"/>
      <c r="P218" s="277"/>
      <c r="Q218" s="278"/>
    </row>
    <row r="219" spans="1:17" ht="13.95" customHeight="1" x14ac:dyDescent="0.25">
      <c r="A219" s="169"/>
      <c r="B219" s="273"/>
      <c r="C219" s="381" t="s">
        <v>437</v>
      </c>
      <c r="D219" s="936"/>
      <c r="E219" s="937"/>
      <c r="F219" s="937"/>
      <c r="G219" s="937"/>
      <c r="H219" s="937"/>
      <c r="I219" s="378"/>
      <c r="J219" s="264"/>
      <c r="K219" s="264"/>
      <c r="L219" s="264"/>
      <c r="M219" s="264"/>
      <c r="N219" s="264"/>
      <c r="O219" s="264"/>
      <c r="P219" s="277"/>
      <c r="Q219" s="278"/>
    </row>
    <row r="220" spans="1:17" ht="13.95" customHeight="1" x14ac:dyDescent="0.25">
      <c r="A220" s="169"/>
      <c r="B220" s="273"/>
      <c r="C220" s="381" t="s">
        <v>438</v>
      </c>
      <c r="D220" s="936"/>
      <c r="E220" s="937"/>
      <c r="F220" s="937"/>
      <c r="G220" s="937"/>
      <c r="H220" s="937"/>
      <c r="I220" s="378"/>
      <c r="J220" s="264"/>
      <c r="K220" s="264"/>
      <c r="L220" s="264"/>
      <c r="M220" s="264"/>
      <c r="N220" s="264"/>
      <c r="O220" s="264"/>
      <c r="P220" s="277"/>
      <c r="Q220" s="278"/>
    </row>
    <row r="221" spans="1:17" ht="13.95" customHeight="1" x14ac:dyDescent="0.25">
      <c r="A221" s="169"/>
      <c r="B221" s="273"/>
      <c r="C221" s="381" t="s">
        <v>439</v>
      </c>
      <c r="D221" s="936"/>
      <c r="E221" s="937"/>
      <c r="F221" s="937"/>
      <c r="G221" s="937"/>
      <c r="H221" s="937"/>
      <c r="I221" s="378"/>
      <c r="J221" s="264"/>
      <c r="K221" s="264"/>
      <c r="L221" s="264"/>
      <c r="M221" s="264"/>
      <c r="N221" s="264"/>
      <c r="O221" s="264"/>
      <c r="P221" s="277"/>
      <c r="Q221" s="278"/>
    </row>
    <row r="222" spans="1:17" ht="13.95" customHeight="1" x14ac:dyDescent="0.25">
      <c r="A222" s="169"/>
      <c r="B222" s="273"/>
      <c r="C222" s="381" t="s">
        <v>440</v>
      </c>
      <c r="D222" s="936"/>
      <c r="E222" s="937"/>
      <c r="F222" s="937"/>
      <c r="G222" s="937"/>
      <c r="H222" s="937"/>
      <c r="I222" s="378"/>
      <c r="J222" s="264"/>
      <c r="K222" s="264"/>
      <c r="L222" s="264"/>
      <c r="M222" s="264"/>
      <c r="N222" s="264"/>
      <c r="O222" s="264"/>
      <c r="P222" s="277"/>
      <c r="Q222" s="278"/>
    </row>
    <row r="223" spans="1:17" ht="13.95" customHeight="1" x14ac:dyDescent="0.25">
      <c r="A223" s="169"/>
      <c r="B223" s="273"/>
      <c r="C223" s="381" t="s">
        <v>441</v>
      </c>
      <c r="D223" s="936"/>
      <c r="E223" s="937"/>
      <c r="F223" s="937"/>
      <c r="G223" s="937"/>
      <c r="H223" s="937"/>
      <c r="I223" s="378"/>
      <c r="J223" s="264"/>
      <c r="K223" s="264"/>
      <c r="L223" s="264"/>
      <c r="M223" s="264"/>
      <c r="N223" s="264"/>
      <c r="O223" s="264"/>
      <c r="P223" s="277"/>
      <c r="Q223" s="278"/>
    </row>
    <row r="224" spans="1:17" ht="13.95" customHeight="1" x14ac:dyDescent="0.25">
      <c r="A224" s="169"/>
      <c r="B224" s="273"/>
      <c r="C224" s="381" t="s">
        <v>442</v>
      </c>
      <c r="D224" s="936"/>
      <c r="E224" s="937"/>
      <c r="F224" s="937"/>
      <c r="G224" s="937"/>
      <c r="H224" s="937"/>
      <c r="I224" s="378"/>
      <c r="J224" s="264"/>
      <c r="K224" s="264"/>
      <c r="L224" s="264"/>
      <c r="M224" s="264"/>
      <c r="N224" s="264"/>
      <c r="O224" s="264"/>
      <c r="P224" s="277"/>
      <c r="Q224" s="278"/>
    </row>
    <row r="225" spans="1:17" ht="13.95" customHeight="1" x14ac:dyDescent="0.25">
      <c r="A225" s="169"/>
      <c r="B225" s="273"/>
      <c r="C225" s="381" t="s">
        <v>443</v>
      </c>
      <c r="D225" s="936"/>
      <c r="E225" s="937"/>
      <c r="F225" s="937"/>
      <c r="G225" s="937"/>
      <c r="H225" s="937"/>
      <c r="I225" s="378"/>
      <c r="J225" s="264"/>
      <c r="K225" s="264"/>
      <c r="L225" s="264"/>
      <c r="M225" s="264"/>
      <c r="N225" s="264"/>
      <c r="O225" s="264"/>
      <c r="P225" s="277"/>
      <c r="Q225" s="278"/>
    </row>
    <row r="226" spans="1:17" ht="13.95" customHeight="1" x14ac:dyDescent="0.25">
      <c r="A226" s="169"/>
      <c r="B226" s="273"/>
      <c r="C226" s="381" t="s">
        <v>444</v>
      </c>
      <c r="D226" s="936"/>
      <c r="E226" s="937"/>
      <c r="F226" s="937"/>
      <c r="G226" s="937"/>
      <c r="H226" s="937"/>
      <c r="I226" s="378"/>
      <c r="J226" s="264"/>
      <c r="K226" s="264"/>
      <c r="L226" s="264"/>
      <c r="M226" s="264"/>
      <c r="N226" s="264"/>
      <c r="O226" s="264"/>
      <c r="P226" s="277"/>
      <c r="Q226" s="278"/>
    </row>
    <row r="227" spans="1:17" ht="13.95" customHeight="1" x14ac:dyDescent="0.25">
      <c r="A227" s="169"/>
      <c r="B227" s="273"/>
      <c r="C227" s="381" t="s">
        <v>445</v>
      </c>
      <c r="D227" s="936"/>
      <c r="E227" s="937"/>
      <c r="F227" s="937"/>
      <c r="G227" s="937"/>
      <c r="H227" s="937"/>
      <c r="I227" s="378"/>
      <c r="J227" s="264"/>
      <c r="K227" s="264"/>
      <c r="L227" s="264"/>
      <c r="M227" s="264"/>
      <c r="N227" s="264"/>
      <c r="O227" s="264"/>
      <c r="P227" s="277"/>
      <c r="Q227" s="278"/>
    </row>
    <row r="228" spans="1:17" ht="13.95" customHeight="1" x14ac:dyDescent="0.25">
      <c r="A228" s="169"/>
      <c r="B228" s="273"/>
      <c r="C228" s="381" t="s">
        <v>379</v>
      </c>
      <c r="D228" s="936"/>
      <c r="E228" s="937"/>
      <c r="F228" s="937"/>
      <c r="G228" s="937"/>
      <c r="H228" s="937"/>
      <c r="I228" s="378"/>
      <c r="J228" s="264"/>
      <c r="K228" s="264"/>
      <c r="L228" s="264"/>
      <c r="M228" s="264"/>
      <c r="N228" s="264"/>
      <c r="O228" s="264"/>
      <c r="P228" s="277"/>
      <c r="Q228" s="278"/>
    </row>
    <row r="229" spans="1:17" ht="13.95" customHeight="1" x14ac:dyDescent="0.25">
      <c r="A229" s="169"/>
      <c r="B229" s="273"/>
      <c r="C229" s="381" t="s">
        <v>380</v>
      </c>
      <c r="D229" s="936"/>
      <c r="E229" s="937"/>
      <c r="F229" s="937"/>
      <c r="G229" s="937"/>
      <c r="H229" s="937"/>
      <c r="I229" s="378"/>
      <c r="J229" s="264"/>
      <c r="K229" s="264"/>
      <c r="L229" s="264"/>
      <c r="M229" s="264"/>
      <c r="N229" s="264"/>
      <c r="O229" s="264"/>
      <c r="P229" s="277"/>
      <c r="Q229" s="278"/>
    </row>
    <row r="230" spans="1:17" ht="13.95" customHeight="1" x14ac:dyDescent="0.25">
      <c r="A230" s="169"/>
      <c r="B230" s="273"/>
      <c r="C230" s="381" t="s">
        <v>381</v>
      </c>
      <c r="D230" s="936"/>
      <c r="E230" s="937"/>
      <c r="F230" s="937"/>
      <c r="G230" s="937"/>
      <c r="H230" s="937"/>
      <c r="I230" s="378"/>
      <c r="J230" s="264"/>
      <c r="K230" s="264"/>
      <c r="L230" s="264"/>
      <c r="M230" s="264"/>
      <c r="N230" s="264"/>
      <c r="O230" s="264"/>
      <c r="P230" s="277"/>
      <c r="Q230" s="278"/>
    </row>
    <row r="231" spans="1:17" ht="13.95" customHeight="1" x14ac:dyDescent="0.25">
      <c r="A231" s="169"/>
      <c r="B231" s="273"/>
      <c r="C231" s="381" t="s">
        <v>382</v>
      </c>
      <c r="D231" s="936"/>
      <c r="E231" s="937"/>
      <c r="F231" s="937"/>
      <c r="G231" s="937"/>
      <c r="H231" s="937"/>
      <c r="I231" s="378"/>
      <c r="J231" s="264"/>
      <c r="K231" s="264"/>
      <c r="L231" s="264"/>
      <c r="M231" s="264"/>
      <c r="N231" s="264"/>
      <c r="O231" s="264"/>
      <c r="P231" s="277"/>
      <c r="Q231" s="278"/>
    </row>
    <row r="232" spans="1:17" ht="13.95" customHeight="1" x14ac:dyDescent="0.25">
      <c r="A232" s="169"/>
      <c r="B232" s="273"/>
      <c r="C232" s="381" t="s">
        <v>383</v>
      </c>
      <c r="D232" s="936"/>
      <c r="E232" s="937"/>
      <c r="F232" s="937"/>
      <c r="G232" s="937"/>
      <c r="H232" s="937"/>
      <c r="I232" s="378"/>
      <c r="J232" s="264"/>
      <c r="K232" s="264"/>
      <c r="L232" s="264"/>
      <c r="M232" s="264"/>
      <c r="N232" s="264"/>
      <c r="O232" s="264"/>
      <c r="P232" s="277"/>
      <c r="Q232" s="278"/>
    </row>
    <row r="233" spans="1:17" ht="13.95" customHeight="1" x14ac:dyDescent="0.25">
      <c r="A233" s="169"/>
      <c r="B233" s="273"/>
      <c r="C233" s="381" t="s">
        <v>384</v>
      </c>
      <c r="D233" s="936"/>
      <c r="E233" s="937"/>
      <c r="F233" s="937"/>
      <c r="G233" s="937"/>
      <c r="H233" s="937"/>
      <c r="I233" s="378"/>
      <c r="J233" s="264"/>
      <c r="K233" s="264"/>
      <c r="L233" s="264"/>
      <c r="M233" s="264"/>
      <c r="N233" s="264"/>
      <c r="O233" s="264"/>
      <c r="P233" s="277"/>
      <c r="Q233" s="278"/>
    </row>
    <row r="234" spans="1:17" ht="13.95" customHeight="1" x14ac:dyDescent="0.25">
      <c r="A234" s="169"/>
      <c r="B234" s="273"/>
      <c r="C234" s="381" t="s">
        <v>385</v>
      </c>
      <c r="D234" s="936"/>
      <c r="E234" s="937"/>
      <c r="F234" s="937"/>
      <c r="G234" s="937"/>
      <c r="H234" s="937"/>
      <c r="I234" s="378"/>
      <c r="J234" s="264"/>
      <c r="K234" s="264"/>
      <c r="L234" s="264"/>
      <c r="M234" s="264"/>
      <c r="N234" s="264"/>
      <c r="O234" s="264"/>
      <c r="P234" s="277"/>
      <c r="Q234" s="278"/>
    </row>
    <row r="235" spans="1:17" ht="13.95" customHeight="1" x14ac:dyDescent="0.25">
      <c r="A235" s="169"/>
      <c r="B235" s="273"/>
      <c r="C235" s="381" t="s">
        <v>386</v>
      </c>
      <c r="D235" s="936"/>
      <c r="E235" s="937"/>
      <c r="F235" s="937"/>
      <c r="G235" s="937"/>
      <c r="H235" s="937"/>
      <c r="I235" s="378"/>
      <c r="J235" s="264"/>
      <c r="K235" s="264"/>
      <c r="L235" s="264"/>
      <c r="M235" s="264"/>
      <c r="N235" s="264"/>
      <c r="O235" s="264"/>
      <c r="P235" s="277"/>
      <c r="Q235" s="278"/>
    </row>
    <row r="236" spans="1:17" ht="13.95" customHeight="1" x14ac:dyDescent="0.25">
      <c r="A236" s="169"/>
      <c r="B236" s="273"/>
      <c r="C236" s="381" t="s">
        <v>387</v>
      </c>
      <c r="D236" s="936"/>
      <c r="E236" s="937"/>
      <c r="F236" s="937"/>
      <c r="G236" s="937"/>
      <c r="H236" s="937"/>
      <c r="I236" s="378"/>
      <c r="J236" s="264"/>
      <c r="K236" s="264"/>
      <c r="L236" s="264"/>
      <c r="M236" s="264"/>
      <c r="N236" s="264"/>
      <c r="O236" s="264"/>
      <c r="P236" s="277"/>
      <c r="Q236" s="278"/>
    </row>
    <row r="237" spans="1:17" ht="13.95" customHeight="1" x14ac:dyDescent="0.25">
      <c r="A237" s="169"/>
      <c r="B237" s="273"/>
      <c r="C237" s="381" t="s">
        <v>388</v>
      </c>
      <c r="D237" s="936"/>
      <c r="E237" s="937"/>
      <c r="F237" s="937"/>
      <c r="G237" s="937"/>
      <c r="H237" s="937"/>
      <c r="I237" s="378"/>
      <c r="J237" s="264"/>
      <c r="K237" s="264"/>
      <c r="L237" s="264"/>
      <c r="M237" s="264"/>
      <c r="N237" s="264"/>
      <c r="O237" s="264"/>
      <c r="P237" s="277"/>
      <c r="Q237" s="278"/>
    </row>
    <row r="238" spans="1:17" ht="13.95" customHeight="1" x14ac:dyDescent="0.25">
      <c r="A238" s="169"/>
      <c r="B238" s="273"/>
      <c r="C238" s="381" t="s">
        <v>389</v>
      </c>
      <c r="D238" s="936"/>
      <c r="E238" s="937"/>
      <c r="F238" s="937"/>
      <c r="G238" s="937"/>
      <c r="H238" s="937"/>
      <c r="I238" s="378"/>
      <c r="J238" s="264"/>
      <c r="K238" s="264"/>
      <c r="L238" s="264"/>
      <c r="M238" s="264"/>
      <c r="N238" s="264"/>
      <c r="O238" s="264"/>
      <c r="P238" s="277"/>
      <c r="Q238" s="278"/>
    </row>
    <row r="239" spans="1:17" ht="13.95" customHeight="1" x14ac:dyDescent="0.25">
      <c r="A239" s="169"/>
      <c r="B239" s="273"/>
      <c r="C239" s="381" t="s">
        <v>390</v>
      </c>
      <c r="D239" s="936"/>
      <c r="E239" s="937"/>
      <c r="F239" s="937"/>
      <c r="G239" s="937"/>
      <c r="H239" s="937"/>
      <c r="I239" s="378"/>
      <c r="J239" s="264"/>
      <c r="K239" s="264"/>
      <c r="L239" s="264"/>
      <c r="M239" s="264"/>
      <c r="N239" s="264"/>
      <c r="O239" s="264"/>
      <c r="P239" s="277"/>
      <c r="Q239" s="278"/>
    </row>
    <row r="240" spans="1:17" ht="13.95" customHeight="1" x14ac:dyDescent="0.25">
      <c r="A240" s="169"/>
      <c r="B240" s="273"/>
      <c r="C240" s="381" t="s">
        <v>391</v>
      </c>
      <c r="D240" s="936"/>
      <c r="E240" s="937"/>
      <c r="F240" s="937"/>
      <c r="G240" s="937"/>
      <c r="H240" s="937"/>
      <c r="I240" s="378"/>
      <c r="J240" s="264"/>
      <c r="K240" s="264"/>
      <c r="L240" s="264"/>
      <c r="M240" s="264"/>
      <c r="N240" s="264"/>
      <c r="O240" s="264"/>
      <c r="P240" s="277"/>
      <c r="Q240" s="278"/>
    </row>
    <row r="241" spans="1:17" ht="13.95" customHeight="1" x14ac:dyDescent="0.25">
      <c r="A241" s="169"/>
      <c r="B241" s="273"/>
      <c r="C241" s="381" t="s">
        <v>392</v>
      </c>
      <c r="D241" s="936"/>
      <c r="E241" s="937"/>
      <c r="F241" s="937"/>
      <c r="G241" s="937"/>
      <c r="H241" s="937"/>
      <c r="I241" s="378"/>
      <c r="J241" s="264"/>
      <c r="K241" s="264"/>
      <c r="L241" s="264"/>
      <c r="M241" s="264"/>
      <c r="N241" s="264"/>
      <c r="O241" s="264"/>
      <c r="P241" s="277"/>
      <c r="Q241" s="278"/>
    </row>
    <row r="242" spans="1:17" ht="13.95" customHeight="1" x14ac:dyDescent="0.25">
      <c r="A242" s="169"/>
      <c r="B242" s="273"/>
      <c r="C242" s="381" t="s">
        <v>393</v>
      </c>
      <c r="D242" s="936"/>
      <c r="E242" s="937"/>
      <c r="F242" s="937"/>
      <c r="G242" s="937"/>
      <c r="H242" s="937"/>
      <c r="I242" s="378"/>
      <c r="J242" s="264"/>
      <c r="K242" s="264"/>
      <c r="L242" s="264"/>
      <c r="M242" s="264"/>
      <c r="N242" s="264"/>
      <c r="O242" s="264"/>
      <c r="P242" s="277"/>
      <c r="Q242" s="278"/>
    </row>
    <row r="243" spans="1:17" ht="13.95" customHeight="1" x14ac:dyDescent="0.25">
      <c r="A243" s="169"/>
      <c r="B243" s="273"/>
      <c r="C243" s="381" t="s">
        <v>394</v>
      </c>
      <c r="D243" s="936"/>
      <c r="E243" s="937"/>
      <c r="F243" s="937"/>
      <c r="G243" s="937"/>
      <c r="H243" s="937"/>
      <c r="I243" s="378"/>
      <c r="J243" s="264"/>
      <c r="K243" s="264"/>
      <c r="L243" s="264"/>
      <c r="M243" s="264"/>
      <c r="N243" s="264"/>
      <c r="O243" s="264"/>
      <c r="P243" s="277"/>
      <c r="Q243" s="278"/>
    </row>
    <row r="244" spans="1:17" ht="13.95" customHeight="1" x14ac:dyDescent="0.25">
      <c r="A244" s="169"/>
      <c r="B244" s="273"/>
      <c r="C244" s="381" t="s">
        <v>395</v>
      </c>
      <c r="D244" s="936"/>
      <c r="E244" s="937"/>
      <c r="F244" s="937"/>
      <c r="G244" s="937"/>
      <c r="H244" s="937"/>
      <c r="I244" s="378"/>
      <c r="J244" s="264"/>
      <c r="K244" s="264"/>
      <c r="L244" s="264"/>
      <c r="M244" s="264"/>
      <c r="N244" s="264"/>
      <c r="O244" s="264"/>
      <c r="P244" s="277"/>
      <c r="Q244" s="278"/>
    </row>
    <row r="245" spans="1:17" ht="13.95" customHeight="1" x14ac:dyDescent="0.25">
      <c r="A245" s="169"/>
      <c r="B245" s="273"/>
      <c r="C245" s="381" t="s">
        <v>396</v>
      </c>
      <c r="D245" s="936"/>
      <c r="E245" s="937"/>
      <c r="F245" s="937"/>
      <c r="G245" s="937"/>
      <c r="H245" s="937"/>
      <c r="I245" s="378"/>
      <c r="J245" s="264"/>
      <c r="K245" s="264"/>
      <c r="L245" s="264"/>
      <c r="M245" s="264"/>
      <c r="N245" s="264"/>
      <c r="O245" s="264"/>
      <c r="P245" s="277"/>
      <c r="Q245" s="278"/>
    </row>
    <row r="246" spans="1:17" ht="13.95" customHeight="1" x14ac:dyDescent="0.25">
      <c r="A246" s="169"/>
      <c r="B246" s="273"/>
      <c r="C246" s="381" t="s">
        <v>397</v>
      </c>
      <c r="D246" s="936"/>
      <c r="E246" s="937"/>
      <c r="F246" s="937"/>
      <c r="G246" s="937"/>
      <c r="H246" s="937"/>
      <c r="I246" s="378"/>
      <c r="J246" s="264"/>
      <c r="K246" s="264"/>
      <c r="L246" s="264"/>
      <c r="M246" s="264"/>
      <c r="N246" s="264"/>
      <c r="O246" s="264"/>
      <c r="P246" s="277"/>
      <c r="Q246" s="278"/>
    </row>
    <row r="247" spans="1:17" ht="13.95" customHeight="1" x14ac:dyDescent="0.25">
      <c r="A247" s="169"/>
      <c r="B247" s="273"/>
      <c r="C247" s="381" t="s">
        <v>398</v>
      </c>
      <c r="D247" s="936"/>
      <c r="E247" s="937"/>
      <c r="F247" s="937"/>
      <c r="G247" s="937"/>
      <c r="H247" s="937"/>
      <c r="I247" s="378"/>
      <c r="J247" s="264"/>
      <c r="K247" s="264"/>
      <c r="L247" s="264"/>
      <c r="M247" s="264"/>
      <c r="N247" s="264"/>
      <c r="O247" s="264"/>
      <c r="P247" s="277"/>
      <c r="Q247" s="278"/>
    </row>
    <row r="248" spans="1:17" ht="13.95" customHeight="1" x14ac:dyDescent="0.25">
      <c r="A248" s="169"/>
      <c r="B248" s="273"/>
      <c r="C248" s="381" t="s">
        <v>399</v>
      </c>
      <c r="D248" s="936"/>
      <c r="E248" s="937"/>
      <c r="F248" s="937"/>
      <c r="G248" s="937"/>
      <c r="H248" s="937"/>
      <c r="I248" s="378"/>
      <c r="J248" s="264"/>
      <c r="K248" s="264"/>
      <c r="L248" s="264"/>
      <c r="M248" s="264"/>
      <c r="N248" s="264"/>
      <c r="O248" s="264"/>
      <c r="P248" s="277"/>
      <c r="Q248" s="278"/>
    </row>
    <row r="249" spans="1:17" ht="13.95" customHeight="1" x14ac:dyDescent="0.25">
      <c r="A249" s="169"/>
      <c r="B249" s="273"/>
      <c r="C249" s="381" t="s">
        <v>400</v>
      </c>
      <c r="D249" s="936"/>
      <c r="E249" s="937"/>
      <c r="F249" s="937"/>
      <c r="G249" s="937"/>
      <c r="H249" s="937"/>
      <c r="I249" s="378"/>
      <c r="J249" s="264"/>
      <c r="K249" s="264"/>
      <c r="L249" s="264"/>
      <c r="M249" s="264"/>
      <c r="N249" s="264"/>
      <c r="O249" s="264"/>
      <c r="P249" s="277"/>
      <c r="Q249" s="278"/>
    </row>
    <row r="250" spans="1:17" ht="13.95" customHeight="1" x14ac:dyDescent="0.25">
      <c r="A250" s="169"/>
      <c r="B250" s="273"/>
      <c r="C250" s="381" t="s">
        <v>401</v>
      </c>
      <c r="D250" s="936"/>
      <c r="E250" s="937"/>
      <c r="F250" s="937"/>
      <c r="G250" s="937"/>
      <c r="H250" s="937"/>
      <c r="I250" s="378"/>
      <c r="J250" s="264"/>
      <c r="K250" s="264"/>
      <c r="L250" s="264"/>
      <c r="M250" s="264"/>
      <c r="N250" s="264"/>
      <c r="O250" s="264"/>
      <c r="P250" s="277"/>
      <c r="Q250" s="278"/>
    </row>
    <row r="251" spans="1:17" ht="13.95" customHeight="1" x14ac:dyDescent="0.25">
      <c r="A251" s="169"/>
      <c r="B251" s="273"/>
      <c r="C251" s="381" t="s">
        <v>402</v>
      </c>
      <c r="D251" s="936"/>
      <c r="E251" s="937"/>
      <c r="F251" s="937"/>
      <c r="G251" s="937"/>
      <c r="H251" s="937"/>
      <c r="I251" s="378"/>
      <c r="J251" s="264"/>
      <c r="K251" s="264"/>
      <c r="L251" s="264"/>
      <c r="M251" s="264"/>
      <c r="N251" s="264"/>
      <c r="O251" s="264"/>
      <c r="P251" s="277"/>
      <c r="Q251" s="278"/>
    </row>
    <row r="252" spans="1:17" ht="13.95" customHeight="1" x14ac:dyDescent="0.25">
      <c r="A252" s="169"/>
      <c r="B252" s="273"/>
      <c r="C252" s="381" t="s">
        <v>403</v>
      </c>
      <c r="D252" s="936"/>
      <c r="E252" s="937"/>
      <c r="F252" s="937"/>
      <c r="G252" s="937"/>
      <c r="H252" s="937"/>
      <c r="I252" s="378"/>
      <c r="J252" s="264"/>
      <c r="K252" s="264"/>
      <c r="L252" s="264"/>
      <c r="M252" s="264"/>
      <c r="N252" s="264"/>
      <c r="O252" s="264"/>
      <c r="P252" s="277"/>
      <c r="Q252" s="278"/>
    </row>
    <row r="253" spans="1:17" ht="13.95" customHeight="1" x14ac:dyDescent="0.25">
      <c r="A253" s="169"/>
      <c r="B253" s="273"/>
      <c r="C253" s="381" t="s">
        <v>404</v>
      </c>
      <c r="D253" s="936"/>
      <c r="E253" s="937"/>
      <c r="F253" s="937"/>
      <c r="G253" s="937"/>
      <c r="H253" s="937"/>
      <c r="I253" s="378"/>
      <c r="J253" s="264"/>
      <c r="K253" s="264"/>
      <c r="L253" s="264"/>
      <c r="M253" s="264"/>
      <c r="N253" s="264"/>
      <c r="O253" s="264"/>
      <c r="P253" s="277"/>
      <c r="Q253" s="278"/>
    </row>
    <row r="254" spans="1:17" ht="13.95" customHeight="1" x14ac:dyDescent="0.25">
      <c r="A254" s="169"/>
      <c r="B254" s="273"/>
      <c r="C254" s="381" t="s">
        <v>253</v>
      </c>
      <c r="D254" s="936"/>
      <c r="E254" s="937"/>
      <c r="F254" s="937"/>
      <c r="G254" s="937"/>
      <c r="H254" s="937"/>
      <c r="I254" s="378"/>
      <c r="J254" s="264"/>
      <c r="K254" s="264"/>
      <c r="L254" s="264"/>
      <c r="M254" s="264"/>
      <c r="N254" s="264"/>
      <c r="O254" s="264"/>
      <c r="P254" s="277"/>
      <c r="Q254" s="278"/>
    </row>
    <row r="255" spans="1:17" ht="13.95" customHeight="1" x14ac:dyDescent="0.25">
      <c r="A255" s="169"/>
      <c r="B255" s="273"/>
      <c r="C255" s="381" t="s">
        <v>254</v>
      </c>
      <c r="D255" s="936"/>
      <c r="E255" s="937"/>
      <c r="F255" s="937"/>
      <c r="G255" s="937"/>
      <c r="H255" s="937"/>
      <c r="I255" s="378"/>
      <c r="J255" s="264"/>
      <c r="K255" s="264"/>
      <c r="L255" s="264"/>
      <c r="M255" s="264"/>
      <c r="N255" s="264"/>
      <c r="O255" s="264"/>
      <c r="P255" s="277"/>
      <c r="Q255" s="278"/>
    </row>
    <row r="256" spans="1:17" ht="13.95" customHeight="1" x14ac:dyDescent="0.25">
      <c r="A256" s="169"/>
      <c r="B256" s="273"/>
      <c r="C256" s="381" t="s">
        <v>255</v>
      </c>
      <c r="D256" s="936"/>
      <c r="E256" s="937"/>
      <c r="F256" s="937"/>
      <c r="G256" s="937"/>
      <c r="H256" s="937"/>
      <c r="I256" s="378"/>
      <c r="J256" s="264"/>
      <c r="K256" s="264"/>
      <c r="L256" s="264"/>
      <c r="M256" s="264"/>
      <c r="N256" s="264"/>
      <c r="O256" s="264"/>
      <c r="P256" s="277"/>
      <c r="Q256" s="278"/>
    </row>
    <row r="257" spans="1:17" ht="13.95" customHeight="1" x14ac:dyDescent="0.25">
      <c r="A257" s="169"/>
      <c r="B257" s="273"/>
      <c r="C257" s="381" t="s">
        <v>256</v>
      </c>
      <c r="D257" s="936"/>
      <c r="E257" s="937"/>
      <c r="F257" s="937"/>
      <c r="G257" s="937"/>
      <c r="H257" s="937"/>
      <c r="I257" s="378"/>
      <c r="J257" s="264"/>
      <c r="K257" s="264"/>
      <c r="L257" s="264"/>
      <c r="M257" s="264"/>
      <c r="N257" s="264"/>
      <c r="O257" s="264"/>
      <c r="P257" s="277"/>
      <c r="Q257" s="278"/>
    </row>
    <row r="258" spans="1:17" ht="13.95" customHeight="1" x14ac:dyDescent="0.25">
      <c r="A258" s="169"/>
      <c r="B258" s="273"/>
      <c r="C258" s="381" t="s">
        <v>257</v>
      </c>
      <c r="D258" s="936"/>
      <c r="E258" s="937"/>
      <c r="F258" s="937"/>
      <c r="G258" s="937"/>
      <c r="H258" s="937"/>
      <c r="I258" s="378"/>
      <c r="J258" s="264"/>
      <c r="K258" s="264"/>
      <c r="L258" s="264"/>
      <c r="M258" s="264"/>
      <c r="N258" s="264"/>
      <c r="O258" s="264"/>
      <c r="P258" s="277"/>
      <c r="Q258" s="278"/>
    </row>
    <row r="259" spans="1:17" ht="13.95" customHeight="1" x14ac:dyDescent="0.25">
      <c r="A259" s="169"/>
      <c r="B259" s="273"/>
      <c r="C259" s="381" t="s">
        <v>258</v>
      </c>
      <c r="D259" s="936"/>
      <c r="E259" s="937"/>
      <c r="F259" s="937"/>
      <c r="G259" s="937"/>
      <c r="H259" s="937"/>
      <c r="I259" s="378"/>
      <c r="J259" s="264"/>
      <c r="K259" s="264"/>
      <c r="L259" s="264"/>
      <c r="M259" s="264"/>
      <c r="N259" s="264"/>
      <c r="O259" s="264"/>
      <c r="P259" s="277"/>
      <c r="Q259" s="278"/>
    </row>
    <row r="260" spans="1:17" ht="13.95" customHeight="1" x14ac:dyDescent="0.25">
      <c r="A260" s="169"/>
      <c r="B260" s="273"/>
      <c r="C260" s="381" t="s">
        <v>259</v>
      </c>
      <c r="D260" s="936"/>
      <c r="E260" s="937"/>
      <c r="F260" s="937"/>
      <c r="G260" s="937"/>
      <c r="H260" s="937"/>
      <c r="I260" s="378"/>
      <c r="J260" s="264"/>
      <c r="K260" s="264"/>
      <c r="L260" s="264"/>
      <c r="M260" s="264"/>
      <c r="N260" s="264"/>
      <c r="O260" s="264"/>
      <c r="P260" s="277"/>
      <c r="Q260" s="278"/>
    </row>
    <row r="261" spans="1:17" ht="13.95" customHeight="1" x14ac:dyDescent="0.25">
      <c r="A261" s="169"/>
      <c r="B261" s="273"/>
      <c r="C261" s="381" t="s">
        <v>260</v>
      </c>
      <c r="D261" s="936"/>
      <c r="E261" s="937"/>
      <c r="F261" s="937"/>
      <c r="G261" s="937"/>
      <c r="H261" s="937"/>
      <c r="I261" s="378"/>
      <c r="J261" s="264"/>
      <c r="K261" s="264"/>
      <c r="L261" s="264"/>
      <c r="M261" s="264"/>
      <c r="N261" s="264"/>
      <c r="O261" s="264"/>
      <c r="P261" s="277"/>
      <c r="Q261" s="278"/>
    </row>
    <row r="262" spans="1:17" ht="13.95" customHeight="1" x14ac:dyDescent="0.25">
      <c r="A262" s="169"/>
      <c r="B262" s="273"/>
      <c r="C262" s="381" t="s">
        <v>261</v>
      </c>
      <c r="D262" s="936"/>
      <c r="E262" s="937"/>
      <c r="F262" s="937"/>
      <c r="G262" s="937"/>
      <c r="H262" s="937"/>
      <c r="I262" s="378"/>
      <c r="J262" s="264"/>
      <c r="K262" s="264"/>
      <c r="L262" s="264"/>
      <c r="M262" s="264"/>
      <c r="N262" s="264"/>
      <c r="O262" s="264"/>
      <c r="P262" s="277"/>
      <c r="Q262" s="278"/>
    </row>
    <row r="263" spans="1:17" ht="13.95" customHeight="1" x14ac:dyDescent="0.25">
      <c r="A263" s="169"/>
      <c r="B263" s="273"/>
      <c r="C263" s="381" t="s">
        <v>262</v>
      </c>
      <c r="D263" s="936"/>
      <c r="E263" s="937"/>
      <c r="F263" s="937"/>
      <c r="G263" s="937"/>
      <c r="H263" s="937"/>
      <c r="I263" s="378"/>
      <c r="J263" s="264"/>
      <c r="K263" s="264"/>
      <c r="L263" s="264"/>
      <c r="M263" s="264"/>
      <c r="N263" s="264"/>
      <c r="O263" s="264"/>
      <c r="P263" s="277"/>
      <c r="Q263" s="278"/>
    </row>
    <row r="264" spans="1:17" ht="13.95" customHeight="1" x14ac:dyDescent="0.25">
      <c r="A264" s="169"/>
      <c r="B264" s="273"/>
      <c r="C264" s="381" t="s">
        <v>263</v>
      </c>
      <c r="D264" s="936"/>
      <c r="E264" s="937"/>
      <c r="F264" s="937"/>
      <c r="G264" s="937"/>
      <c r="H264" s="937"/>
      <c r="I264" s="378"/>
      <c r="J264" s="264"/>
      <c r="K264" s="264"/>
      <c r="L264" s="264"/>
      <c r="M264" s="264"/>
      <c r="N264" s="264"/>
      <c r="O264" s="264"/>
      <c r="P264" s="277"/>
      <c r="Q264" s="278"/>
    </row>
    <row r="265" spans="1:17" ht="13.95" customHeight="1" x14ac:dyDescent="0.25">
      <c r="A265" s="169"/>
      <c r="B265" s="273"/>
      <c r="C265" s="381" t="s">
        <v>264</v>
      </c>
      <c r="D265" s="936"/>
      <c r="E265" s="937"/>
      <c r="F265" s="937"/>
      <c r="G265" s="937"/>
      <c r="H265" s="937"/>
      <c r="I265" s="378"/>
      <c r="J265" s="264"/>
      <c r="K265" s="264"/>
      <c r="L265" s="264"/>
      <c r="M265" s="264"/>
      <c r="N265" s="264"/>
      <c r="O265" s="264"/>
      <c r="P265" s="277"/>
      <c r="Q265" s="278"/>
    </row>
    <row r="266" spans="1:17" ht="13.95" customHeight="1" x14ac:dyDescent="0.25">
      <c r="A266" s="169"/>
      <c r="B266" s="273"/>
      <c r="C266" s="381" t="s">
        <v>265</v>
      </c>
      <c r="D266" s="936"/>
      <c r="E266" s="937"/>
      <c r="F266" s="937"/>
      <c r="G266" s="937"/>
      <c r="H266" s="937"/>
      <c r="I266" s="378"/>
      <c r="J266" s="264"/>
      <c r="K266" s="264"/>
      <c r="L266" s="264"/>
      <c r="M266" s="264"/>
      <c r="N266" s="264"/>
      <c r="O266" s="264"/>
      <c r="P266" s="277"/>
      <c r="Q266" s="278"/>
    </row>
    <row r="267" spans="1:17" ht="13.95" customHeight="1" x14ac:dyDescent="0.25">
      <c r="A267" s="169"/>
      <c r="B267" s="273"/>
      <c r="C267" s="381" t="s">
        <v>266</v>
      </c>
      <c r="D267" s="936"/>
      <c r="E267" s="937"/>
      <c r="F267" s="937"/>
      <c r="G267" s="937"/>
      <c r="H267" s="937"/>
      <c r="I267" s="378"/>
      <c r="J267" s="264"/>
      <c r="K267" s="264"/>
      <c r="L267" s="264"/>
      <c r="M267" s="264"/>
      <c r="N267" s="264"/>
      <c r="O267" s="264"/>
      <c r="P267" s="277"/>
      <c r="Q267" s="278"/>
    </row>
    <row r="268" spans="1:17" ht="13.95" customHeight="1" x14ac:dyDescent="0.25">
      <c r="A268" s="169"/>
      <c r="B268" s="273"/>
      <c r="C268" s="381" t="s">
        <v>267</v>
      </c>
      <c r="D268" s="936"/>
      <c r="E268" s="937"/>
      <c r="F268" s="937"/>
      <c r="G268" s="937"/>
      <c r="H268" s="937"/>
      <c r="I268" s="378"/>
      <c r="J268" s="264"/>
      <c r="K268" s="264"/>
      <c r="L268" s="264"/>
      <c r="M268" s="264"/>
      <c r="N268" s="264"/>
      <c r="O268" s="264"/>
      <c r="P268" s="277"/>
      <c r="Q268" s="278"/>
    </row>
    <row r="269" spans="1:17" ht="13.95" customHeight="1" x14ac:dyDescent="0.25">
      <c r="A269" s="169"/>
      <c r="B269" s="273"/>
      <c r="C269" s="381" t="s">
        <v>268</v>
      </c>
      <c r="D269" s="936"/>
      <c r="E269" s="937"/>
      <c r="F269" s="937"/>
      <c r="G269" s="937"/>
      <c r="H269" s="937"/>
      <c r="I269" s="378"/>
      <c r="J269" s="264"/>
      <c r="K269" s="264"/>
      <c r="L269" s="264"/>
      <c r="M269" s="264"/>
      <c r="N269" s="264"/>
      <c r="O269" s="264"/>
      <c r="P269" s="277"/>
      <c r="Q269" s="278"/>
    </row>
    <row r="270" spans="1:17" ht="13.95" customHeight="1" x14ac:dyDescent="0.25">
      <c r="A270" s="169"/>
      <c r="B270" s="273"/>
      <c r="C270" s="381" t="s">
        <v>269</v>
      </c>
      <c r="D270" s="936"/>
      <c r="E270" s="937"/>
      <c r="F270" s="937"/>
      <c r="G270" s="937"/>
      <c r="H270" s="937"/>
      <c r="I270" s="378"/>
      <c r="J270" s="264"/>
      <c r="K270" s="264"/>
      <c r="L270" s="264"/>
      <c r="M270" s="264"/>
      <c r="N270" s="264"/>
      <c r="O270" s="264"/>
      <c r="P270" s="277"/>
      <c r="Q270" s="278"/>
    </row>
    <row r="271" spans="1:17" ht="13.95" customHeight="1" x14ac:dyDescent="0.25">
      <c r="A271" s="169"/>
      <c r="B271" s="273"/>
      <c r="C271" s="381" t="s">
        <v>270</v>
      </c>
      <c r="D271" s="936"/>
      <c r="E271" s="937"/>
      <c r="F271" s="937"/>
      <c r="G271" s="937"/>
      <c r="H271" s="937"/>
      <c r="I271" s="378"/>
      <c r="J271" s="264"/>
      <c r="K271" s="264"/>
      <c r="L271" s="264"/>
      <c r="M271" s="264"/>
      <c r="N271" s="264"/>
      <c r="O271" s="264"/>
      <c r="P271" s="277"/>
      <c r="Q271" s="278"/>
    </row>
    <row r="272" spans="1:17" ht="13.95" customHeight="1" x14ac:dyDescent="0.25">
      <c r="A272" s="169"/>
      <c r="B272" s="273"/>
      <c r="C272" s="381" t="s">
        <v>271</v>
      </c>
      <c r="D272" s="936"/>
      <c r="E272" s="937"/>
      <c r="F272" s="937"/>
      <c r="G272" s="937"/>
      <c r="H272" s="937"/>
      <c r="I272" s="378"/>
      <c r="J272" s="264"/>
      <c r="K272" s="264"/>
      <c r="L272" s="264"/>
      <c r="M272" s="264"/>
      <c r="N272" s="264"/>
      <c r="O272" s="264"/>
      <c r="P272" s="277"/>
      <c r="Q272" s="278"/>
    </row>
    <row r="273" spans="1:17" ht="13.95" customHeight="1" x14ac:dyDescent="0.25">
      <c r="A273" s="169"/>
      <c r="B273" s="273"/>
      <c r="C273" s="381" t="s">
        <v>272</v>
      </c>
      <c r="D273" s="936"/>
      <c r="E273" s="937"/>
      <c r="F273" s="937"/>
      <c r="G273" s="937"/>
      <c r="H273" s="937"/>
      <c r="I273" s="378"/>
      <c r="J273" s="264"/>
      <c r="K273" s="264"/>
      <c r="L273" s="264"/>
      <c r="M273" s="264"/>
      <c r="N273" s="264"/>
      <c r="O273" s="264"/>
      <c r="P273" s="277"/>
      <c r="Q273" s="278"/>
    </row>
    <row r="274" spans="1:17" ht="13.95" customHeight="1" x14ac:dyDescent="0.25">
      <c r="A274" s="169"/>
      <c r="B274" s="273"/>
      <c r="C274" s="381" t="s">
        <v>273</v>
      </c>
      <c r="D274" s="936"/>
      <c r="E274" s="937"/>
      <c r="F274" s="937"/>
      <c r="G274" s="937"/>
      <c r="H274" s="937"/>
      <c r="I274" s="378"/>
      <c r="J274" s="264"/>
      <c r="K274" s="264"/>
      <c r="L274" s="264"/>
      <c r="M274" s="264"/>
      <c r="N274" s="264"/>
      <c r="O274" s="264"/>
      <c r="P274" s="277"/>
      <c r="Q274" s="278"/>
    </row>
    <row r="275" spans="1:17" ht="13.95" customHeight="1" x14ac:dyDescent="0.25">
      <c r="A275" s="169"/>
      <c r="B275" s="273"/>
      <c r="C275" s="381" t="s">
        <v>274</v>
      </c>
      <c r="D275" s="936"/>
      <c r="E275" s="937"/>
      <c r="F275" s="937"/>
      <c r="G275" s="937"/>
      <c r="H275" s="937"/>
      <c r="I275" s="378"/>
      <c r="J275" s="264"/>
      <c r="K275" s="264"/>
      <c r="L275" s="264"/>
      <c r="M275" s="264"/>
      <c r="N275" s="264"/>
      <c r="O275" s="264"/>
      <c r="P275" s="277"/>
      <c r="Q275" s="278"/>
    </row>
    <row r="276" spans="1:17" ht="13.95" customHeight="1" x14ac:dyDescent="0.25">
      <c r="A276" s="169"/>
      <c r="B276" s="273"/>
      <c r="C276" s="381" t="s">
        <v>275</v>
      </c>
      <c r="D276" s="936"/>
      <c r="E276" s="937"/>
      <c r="F276" s="937"/>
      <c r="G276" s="937"/>
      <c r="H276" s="937"/>
      <c r="I276" s="378"/>
      <c r="J276" s="264"/>
      <c r="K276" s="264"/>
      <c r="L276" s="264"/>
      <c r="M276" s="264"/>
      <c r="N276" s="264"/>
      <c r="O276" s="264"/>
      <c r="P276" s="277"/>
      <c r="Q276" s="278"/>
    </row>
    <row r="277" spans="1:17" ht="13.95" customHeight="1" x14ac:dyDescent="0.25">
      <c r="A277" s="169"/>
      <c r="B277" s="273"/>
      <c r="C277" s="381" t="s">
        <v>276</v>
      </c>
      <c r="D277" s="936"/>
      <c r="E277" s="937"/>
      <c r="F277" s="937"/>
      <c r="G277" s="937"/>
      <c r="H277" s="937"/>
      <c r="I277" s="378"/>
      <c r="J277" s="264"/>
      <c r="K277" s="264"/>
      <c r="L277" s="264"/>
      <c r="M277" s="264"/>
      <c r="N277" s="264"/>
      <c r="O277" s="264"/>
      <c r="P277" s="277"/>
      <c r="Q277" s="278"/>
    </row>
    <row r="278" spans="1:17" ht="13.95" customHeight="1" x14ac:dyDescent="0.25">
      <c r="A278" s="169"/>
      <c r="B278" s="273"/>
      <c r="C278" s="381" t="s">
        <v>278</v>
      </c>
      <c r="D278" s="936"/>
      <c r="E278" s="937"/>
      <c r="F278" s="937"/>
      <c r="G278" s="937"/>
      <c r="H278" s="937"/>
      <c r="I278" s="378"/>
      <c r="J278" s="264"/>
      <c r="K278" s="264"/>
      <c r="L278" s="264"/>
      <c r="M278" s="264"/>
      <c r="N278" s="264"/>
      <c r="O278" s="264"/>
      <c r="P278" s="277"/>
      <c r="Q278" s="278"/>
    </row>
    <row r="279" spans="1:17" ht="13.95" customHeight="1" x14ac:dyDescent="0.25">
      <c r="A279" s="169"/>
      <c r="B279" s="273"/>
      <c r="C279" s="381" t="s">
        <v>1060</v>
      </c>
      <c r="D279" s="936"/>
      <c r="E279" s="937"/>
      <c r="F279" s="937"/>
      <c r="G279" s="937"/>
      <c r="H279" s="937"/>
      <c r="I279" s="378"/>
      <c r="J279" s="264"/>
      <c r="K279" s="264"/>
      <c r="L279" s="264"/>
      <c r="M279" s="264"/>
      <c r="N279" s="264"/>
      <c r="O279" s="264"/>
      <c r="P279" s="277"/>
      <c r="Q279" s="278"/>
    </row>
    <row r="280" spans="1:17" ht="13.95" customHeight="1" x14ac:dyDescent="0.25">
      <c r="A280" s="169"/>
      <c r="B280" s="273"/>
      <c r="C280" s="381" t="s">
        <v>280</v>
      </c>
      <c r="D280" s="936"/>
      <c r="E280" s="937"/>
      <c r="F280" s="937"/>
      <c r="G280" s="937"/>
      <c r="H280" s="937"/>
      <c r="I280" s="378"/>
      <c r="J280" s="264"/>
      <c r="K280" s="264"/>
      <c r="L280" s="264"/>
      <c r="M280" s="264"/>
      <c r="N280" s="264"/>
      <c r="O280" s="264"/>
      <c r="P280" s="277"/>
      <c r="Q280" s="278"/>
    </row>
    <row r="281" spans="1:17" ht="13.95" customHeight="1" x14ac:dyDescent="0.25">
      <c r="A281" s="169"/>
      <c r="B281" s="273"/>
      <c r="C281" s="381" t="s">
        <v>281</v>
      </c>
      <c r="D281" s="936"/>
      <c r="E281" s="937"/>
      <c r="F281" s="937"/>
      <c r="G281" s="937"/>
      <c r="H281" s="937"/>
      <c r="I281" s="378"/>
      <c r="J281" s="264"/>
      <c r="K281" s="264"/>
      <c r="L281" s="264"/>
      <c r="M281" s="264"/>
      <c r="N281" s="264"/>
      <c r="O281" s="264"/>
      <c r="P281" s="277"/>
      <c r="Q281" s="278"/>
    </row>
    <row r="282" spans="1:17" ht="13.95" customHeight="1" x14ac:dyDescent="0.25">
      <c r="A282" s="169"/>
      <c r="B282" s="273"/>
      <c r="C282" s="381" t="s">
        <v>282</v>
      </c>
      <c r="D282" s="936"/>
      <c r="E282" s="937"/>
      <c r="F282" s="937"/>
      <c r="G282" s="937"/>
      <c r="H282" s="937"/>
      <c r="I282" s="378"/>
      <c r="J282" s="264"/>
      <c r="K282" s="264"/>
      <c r="L282" s="264"/>
      <c r="M282" s="264"/>
      <c r="N282" s="264"/>
      <c r="O282" s="264"/>
      <c r="P282" s="277"/>
      <c r="Q282" s="278"/>
    </row>
    <row r="283" spans="1:17" ht="13.95" customHeight="1" x14ac:dyDescent="0.25">
      <c r="A283" s="169"/>
      <c r="B283" s="273"/>
      <c r="C283" s="381" t="s">
        <v>283</v>
      </c>
      <c r="D283" s="936"/>
      <c r="E283" s="937"/>
      <c r="F283" s="937"/>
      <c r="G283" s="937"/>
      <c r="H283" s="937"/>
      <c r="I283" s="378"/>
      <c r="J283" s="264"/>
      <c r="K283" s="264"/>
      <c r="L283" s="264"/>
      <c r="M283" s="264"/>
      <c r="N283" s="264"/>
      <c r="O283" s="264"/>
      <c r="P283" s="277"/>
      <c r="Q283" s="278"/>
    </row>
    <row r="284" spans="1:17" ht="13.95" customHeight="1" x14ac:dyDescent="0.25">
      <c r="A284" s="169"/>
      <c r="B284" s="273"/>
      <c r="C284" s="381" t="s">
        <v>284</v>
      </c>
      <c r="D284" s="936"/>
      <c r="E284" s="937"/>
      <c r="F284" s="937"/>
      <c r="G284" s="937"/>
      <c r="H284" s="937"/>
      <c r="I284" s="378"/>
      <c r="J284" s="264"/>
      <c r="K284" s="264"/>
      <c r="L284" s="264"/>
      <c r="M284" s="264"/>
      <c r="N284" s="264"/>
      <c r="O284" s="264"/>
      <c r="P284" s="277"/>
      <c r="Q284" s="278"/>
    </row>
    <row r="285" spans="1:17" ht="13.95" customHeight="1" x14ac:dyDescent="0.25">
      <c r="A285" s="169"/>
      <c r="B285" s="273"/>
      <c r="C285" s="381" t="s">
        <v>285</v>
      </c>
      <c r="D285" s="936"/>
      <c r="E285" s="937"/>
      <c r="F285" s="937"/>
      <c r="G285" s="937"/>
      <c r="H285" s="937"/>
      <c r="I285" s="378"/>
      <c r="J285" s="264"/>
      <c r="K285" s="264"/>
      <c r="L285" s="264"/>
      <c r="M285" s="264"/>
      <c r="N285" s="264"/>
      <c r="O285" s="264"/>
      <c r="P285" s="277"/>
      <c r="Q285" s="278"/>
    </row>
    <row r="286" spans="1:17" ht="13.95" customHeight="1" x14ac:dyDescent="0.25">
      <c r="A286" s="169"/>
      <c r="B286" s="273"/>
      <c r="C286" s="381" t="s">
        <v>286</v>
      </c>
      <c r="D286" s="936"/>
      <c r="E286" s="937"/>
      <c r="F286" s="937"/>
      <c r="G286" s="937"/>
      <c r="H286" s="937"/>
      <c r="I286" s="378"/>
      <c r="J286" s="264"/>
      <c r="K286" s="264"/>
      <c r="L286" s="264"/>
      <c r="M286" s="264"/>
      <c r="N286" s="264"/>
      <c r="O286" s="264"/>
      <c r="P286" s="277"/>
      <c r="Q286" s="278"/>
    </row>
    <row r="287" spans="1:17" ht="13.95" customHeight="1" x14ac:dyDescent="0.25">
      <c r="A287" s="169"/>
      <c r="B287" s="273"/>
      <c r="C287" s="381" t="s">
        <v>1061</v>
      </c>
      <c r="D287" s="936"/>
      <c r="E287" s="937"/>
      <c r="F287" s="937"/>
      <c r="G287" s="937"/>
      <c r="H287" s="937"/>
      <c r="I287" s="378"/>
      <c r="J287" s="264"/>
      <c r="K287" s="264"/>
      <c r="L287" s="264"/>
      <c r="M287" s="264"/>
      <c r="N287" s="264"/>
      <c r="O287" s="264"/>
      <c r="P287" s="277"/>
      <c r="Q287" s="278"/>
    </row>
    <row r="288" spans="1:17" ht="13.95" customHeight="1" x14ac:dyDescent="0.25">
      <c r="A288" s="169"/>
      <c r="B288" s="273"/>
      <c r="C288" s="381" t="s">
        <v>1062</v>
      </c>
      <c r="D288" s="936"/>
      <c r="E288" s="937"/>
      <c r="F288" s="937"/>
      <c r="G288" s="937"/>
      <c r="H288" s="937"/>
      <c r="I288" s="378"/>
      <c r="J288" s="264"/>
      <c r="K288" s="264"/>
      <c r="L288" s="264"/>
      <c r="M288" s="264"/>
      <c r="N288" s="264"/>
      <c r="O288" s="264"/>
      <c r="P288" s="277"/>
      <c r="Q288" s="278"/>
    </row>
    <row r="289" spans="1:17" ht="13.95" customHeight="1" x14ac:dyDescent="0.25">
      <c r="A289" s="169"/>
      <c r="B289" s="273"/>
      <c r="C289" s="381" t="s">
        <v>1063</v>
      </c>
      <c r="D289" s="936"/>
      <c r="E289" s="937"/>
      <c r="F289" s="937"/>
      <c r="G289" s="937"/>
      <c r="H289" s="937"/>
      <c r="I289" s="378"/>
      <c r="J289" s="264"/>
      <c r="K289" s="264"/>
      <c r="L289" s="264"/>
      <c r="M289" s="264"/>
      <c r="N289" s="264"/>
      <c r="O289" s="264"/>
      <c r="P289" s="277"/>
      <c r="Q289" s="278"/>
    </row>
    <row r="290" spans="1:17" ht="13.95" customHeight="1" x14ac:dyDescent="0.25">
      <c r="A290" s="169"/>
      <c r="B290" s="273"/>
      <c r="C290" s="381" t="s">
        <v>1064</v>
      </c>
      <c r="D290" s="936"/>
      <c r="E290" s="937"/>
      <c r="F290" s="937"/>
      <c r="G290" s="937"/>
      <c r="H290" s="937"/>
      <c r="I290" s="378"/>
      <c r="J290" s="264"/>
      <c r="K290" s="264"/>
      <c r="L290" s="264"/>
      <c r="M290" s="264"/>
      <c r="N290" s="264"/>
      <c r="O290" s="264"/>
      <c r="P290" s="277"/>
      <c r="Q290" s="278"/>
    </row>
    <row r="291" spans="1:17" ht="13.95" customHeight="1" x14ac:dyDescent="0.25">
      <c r="A291" s="169"/>
      <c r="B291" s="273"/>
      <c r="C291" s="381" t="s">
        <v>1065</v>
      </c>
      <c r="D291" s="936"/>
      <c r="E291" s="937"/>
      <c r="F291" s="937"/>
      <c r="G291" s="937"/>
      <c r="H291" s="937"/>
      <c r="I291" s="378"/>
      <c r="J291" s="264"/>
      <c r="K291" s="264"/>
      <c r="L291" s="264"/>
      <c r="M291" s="264"/>
      <c r="N291" s="264"/>
      <c r="O291" s="264"/>
      <c r="P291" s="277"/>
      <c r="Q291" s="278"/>
    </row>
    <row r="292" spans="1:17" ht="13.95" customHeight="1" x14ac:dyDescent="0.25">
      <c r="A292" s="169"/>
      <c r="B292" s="273"/>
      <c r="C292" s="381" t="s">
        <v>1066</v>
      </c>
      <c r="D292" s="936"/>
      <c r="E292" s="937"/>
      <c r="F292" s="937"/>
      <c r="G292" s="937"/>
      <c r="H292" s="937"/>
      <c r="I292" s="378"/>
      <c r="J292" s="264"/>
      <c r="K292" s="264"/>
      <c r="L292" s="264"/>
      <c r="M292" s="264"/>
      <c r="N292" s="264"/>
      <c r="O292" s="264"/>
      <c r="P292" s="277"/>
      <c r="Q292" s="278"/>
    </row>
    <row r="293" spans="1:17" ht="13.95" customHeight="1" x14ac:dyDescent="0.25">
      <c r="A293" s="169"/>
      <c r="B293" s="273"/>
      <c r="C293" s="381" t="s">
        <v>1067</v>
      </c>
      <c r="D293" s="936"/>
      <c r="E293" s="937"/>
      <c r="F293" s="937"/>
      <c r="G293" s="937"/>
      <c r="H293" s="937"/>
      <c r="I293" s="378"/>
      <c r="J293" s="264"/>
      <c r="K293" s="264"/>
      <c r="L293" s="264"/>
      <c r="M293" s="264"/>
      <c r="N293" s="264"/>
      <c r="O293" s="264"/>
      <c r="P293" s="277"/>
      <c r="Q293" s="278"/>
    </row>
    <row r="294" spans="1:17" ht="13.95" customHeight="1" x14ac:dyDescent="0.25">
      <c r="A294" s="169"/>
      <c r="B294" s="273"/>
      <c r="C294" s="381" t="s">
        <v>1068</v>
      </c>
      <c r="D294" s="936"/>
      <c r="E294" s="937"/>
      <c r="F294" s="937"/>
      <c r="G294" s="937"/>
      <c r="H294" s="937"/>
      <c r="I294" s="378"/>
      <c r="J294" s="264"/>
      <c r="K294" s="264"/>
      <c r="L294" s="264"/>
      <c r="M294" s="264"/>
      <c r="N294" s="264"/>
      <c r="O294" s="264"/>
      <c r="P294" s="277"/>
      <c r="Q294" s="278"/>
    </row>
    <row r="295" spans="1:17" ht="13.95" customHeight="1" x14ac:dyDescent="0.25">
      <c r="A295" s="169"/>
      <c r="B295" s="273"/>
      <c r="C295" s="381" t="s">
        <v>1069</v>
      </c>
      <c r="D295" s="936"/>
      <c r="E295" s="937"/>
      <c r="F295" s="937"/>
      <c r="G295" s="937"/>
      <c r="H295" s="937"/>
      <c r="I295" s="378"/>
      <c r="J295" s="264"/>
      <c r="K295" s="264"/>
      <c r="L295" s="264"/>
      <c r="M295" s="264"/>
      <c r="N295" s="264"/>
      <c r="O295" s="264"/>
      <c r="P295" s="277"/>
      <c r="Q295" s="278"/>
    </row>
    <row r="296" spans="1:17" ht="13.95" customHeight="1" x14ac:dyDescent="0.25">
      <c r="A296" s="169"/>
      <c r="B296" s="273"/>
      <c r="C296" s="381" t="s">
        <v>1070</v>
      </c>
      <c r="D296" s="936"/>
      <c r="E296" s="937"/>
      <c r="F296" s="937"/>
      <c r="G296" s="937"/>
      <c r="H296" s="937"/>
      <c r="I296" s="378"/>
      <c r="J296" s="264"/>
      <c r="K296" s="264"/>
      <c r="L296" s="264"/>
      <c r="M296" s="264"/>
      <c r="N296" s="264"/>
      <c r="O296" s="264"/>
      <c r="P296" s="277"/>
      <c r="Q296" s="278"/>
    </row>
    <row r="297" spans="1:17" ht="13.95" customHeight="1" x14ac:dyDescent="0.25">
      <c r="A297" s="169"/>
      <c r="B297" s="273"/>
      <c r="C297" s="381" t="s">
        <v>1071</v>
      </c>
      <c r="D297" s="936"/>
      <c r="E297" s="937"/>
      <c r="F297" s="937"/>
      <c r="G297" s="937"/>
      <c r="H297" s="937"/>
      <c r="I297" s="378"/>
      <c r="J297" s="264"/>
      <c r="K297" s="264"/>
      <c r="L297" s="264"/>
      <c r="M297" s="264"/>
      <c r="N297" s="264"/>
      <c r="O297" s="264"/>
      <c r="P297" s="277"/>
      <c r="Q297" s="278"/>
    </row>
    <row r="298" spans="1:17" ht="13.95" customHeight="1" x14ac:dyDescent="0.25">
      <c r="A298" s="169"/>
      <c r="B298" s="273"/>
      <c r="C298" s="381" t="s">
        <v>1072</v>
      </c>
      <c r="D298" s="936"/>
      <c r="E298" s="937"/>
      <c r="F298" s="937"/>
      <c r="G298" s="937"/>
      <c r="H298" s="937"/>
      <c r="I298" s="378"/>
      <c r="J298" s="264"/>
      <c r="K298" s="264"/>
      <c r="L298" s="264"/>
      <c r="M298" s="264"/>
      <c r="N298" s="264"/>
      <c r="O298" s="264"/>
      <c r="P298" s="277"/>
      <c r="Q298" s="278"/>
    </row>
    <row r="299" spans="1:17" ht="13.95" customHeight="1" x14ac:dyDescent="0.25">
      <c r="A299" s="169"/>
      <c r="B299" s="273"/>
      <c r="C299" s="381" t="s">
        <v>1073</v>
      </c>
      <c r="D299" s="936"/>
      <c r="E299" s="937"/>
      <c r="F299" s="937"/>
      <c r="G299" s="937"/>
      <c r="H299" s="937"/>
      <c r="I299" s="378"/>
      <c r="J299" s="264"/>
      <c r="K299" s="264"/>
      <c r="L299" s="264"/>
      <c r="M299" s="264"/>
      <c r="N299" s="264"/>
      <c r="O299" s="264"/>
      <c r="P299" s="277"/>
      <c r="Q299" s="278"/>
    </row>
    <row r="300" spans="1:17" ht="13.95" customHeight="1" x14ac:dyDescent="0.25">
      <c r="A300" s="169"/>
      <c r="B300" s="273"/>
      <c r="C300" s="381" t="s">
        <v>1074</v>
      </c>
      <c r="D300" s="936"/>
      <c r="E300" s="937"/>
      <c r="F300" s="937"/>
      <c r="G300" s="937"/>
      <c r="H300" s="937"/>
      <c r="I300" s="378"/>
      <c r="J300" s="264"/>
      <c r="K300" s="264"/>
      <c r="L300" s="264"/>
      <c r="M300" s="264"/>
      <c r="N300" s="264"/>
      <c r="O300" s="264"/>
      <c r="P300" s="277"/>
      <c r="Q300" s="278"/>
    </row>
    <row r="301" spans="1:17" ht="13.95" customHeight="1" x14ac:dyDescent="0.25">
      <c r="A301" s="169"/>
      <c r="B301" s="273"/>
      <c r="C301" s="381" t="s">
        <v>1075</v>
      </c>
      <c r="D301" s="936"/>
      <c r="E301" s="937"/>
      <c r="F301" s="937"/>
      <c r="G301" s="937"/>
      <c r="H301" s="937"/>
      <c r="I301" s="378"/>
      <c r="J301" s="264"/>
      <c r="K301" s="264"/>
      <c r="L301" s="264"/>
      <c r="M301" s="264"/>
      <c r="N301" s="264"/>
      <c r="O301" s="264"/>
      <c r="P301" s="277"/>
      <c r="Q301" s="278"/>
    </row>
    <row r="302" spans="1:17" ht="13.95" customHeight="1" x14ac:dyDescent="0.25">
      <c r="A302" s="169"/>
      <c r="B302" s="273"/>
      <c r="C302" s="381" t="s">
        <v>1076</v>
      </c>
      <c r="D302" s="936"/>
      <c r="E302" s="937"/>
      <c r="F302" s="937"/>
      <c r="G302" s="937"/>
      <c r="H302" s="937"/>
      <c r="I302" s="378"/>
      <c r="J302" s="264"/>
      <c r="K302" s="264"/>
      <c r="L302" s="264"/>
      <c r="M302" s="264"/>
      <c r="N302" s="264"/>
      <c r="O302" s="264"/>
      <c r="P302" s="277"/>
      <c r="Q302" s="278"/>
    </row>
    <row r="303" spans="1:17" ht="13.95" customHeight="1" x14ac:dyDescent="0.25">
      <c r="A303" s="169"/>
      <c r="B303" s="273"/>
      <c r="C303" s="381" t="s">
        <v>41</v>
      </c>
      <c r="D303" s="936"/>
      <c r="E303" s="937"/>
      <c r="F303" s="937"/>
      <c r="G303" s="937"/>
      <c r="H303" s="937"/>
      <c r="I303" s="378"/>
      <c r="J303" s="264"/>
      <c r="K303" s="264"/>
      <c r="L303" s="264"/>
      <c r="M303" s="264"/>
      <c r="N303" s="264"/>
      <c r="O303" s="264"/>
      <c r="P303" s="277"/>
      <c r="Q303" s="278"/>
    </row>
    <row r="304" spans="1:17" ht="13.95" customHeight="1" x14ac:dyDescent="0.25">
      <c r="A304" s="169"/>
      <c r="B304" s="273"/>
      <c r="C304" s="381" t="s">
        <v>42</v>
      </c>
      <c r="D304" s="936"/>
      <c r="E304" s="937"/>
      <c r="F304" s="937"/>
      <c r="G304" s="937"/>
      <c r="H304" s="937"/>
      <c r="I304" s="378"/>
      <c r="J304" s="264"/>
      <c r="K304" s="264"/>
      <c r="L304" s="264"/>
      <c r="M304" s="264"/>
      <c r="N304" s="264"/>
      <c r="O304" s="264"/>
      <c r="P304" s="277"/>
      <c r="Q304" s="278"/>
    </row>
    <row r="305" spans="1:17" ht="13.95" customHeight="1" x14ac:dyDescent="0.25">
      <c r="A305" s="169"/>
      <c r="B305" s="273"/>
      <c r="C305" s="381" t="s">
        <v>43</v>
      </c>
      <c r="D305" s="936"/>
      <c r="E305" s="937"/>
      <c r="F305" s="937"/>
      <c r="G305" s="937"/>
      <c r="H305" s="937"/>
      <c r="I305" s="378"/>
      <c r="J305" s="264"/>
      <c r="K305" s="264"/>
      <c r="L305" s="264"/>
      <c r="M305" s="264"/>
      <c r="N305" s="264"/>
      <c r="O305" s="264"/>
      <c r="P305" s="277"/>
      <c r="Q305" s="278"/>
    </row>
    <row r="306" spans="1:17" ht="13.95" customHeight="1" x14ac:dyDescent="0.25">
      <c r="A306" s="169"/>
      <c r="B306" s="273"/>
      <c r="C306" s="381" t="s">
        <v>45</v>
      </c>
      <c r="D306" s="936"/>
      <c r="E306" s="937"/>
      <c r="F306" s="937"/>
      <c r="G306" s="937"/>
      <c r="H306" s="937"/>
      <c r="I306" s="378"/>
      <c r="J306" s="264"/>
      <c r="K306" s="264"/>
      <c r="L306" s="264"/>
      <c r="M306" s="264"/>
      <c r="N306" s="264"/>
      <c r="O306" s="264"/>
      <c r="P306" s="277"/>
      <c r="Q306" s="278"/>
    </row>
    <row r="307" spans="1:17" ht="13.95" customHeight="1" x14ac:dyDescent="0.25">
      <c r="A307" s="169"/>
      <c r="B307" s="273"/>
      <c r="C307" s="381" t="s">
        <v>47</v>
      </c>
      <c r="D307" s="936"/>
      <c r="E307" s="937"/>
      <c r="F307" s="937"/>
      <c r="G307" s="937"/>
      <c r="H307" s="937"/>
      <c r="I307" s="378"/>
      <c r="J307" s="264"/>
      <c r="K307" s="264"/>
      <c r="L307" s="264"/>
      <c r="M307" s="264"/>
      <c r="N307" s="264"/>
      <c r="O307" s="264"/>
      <c r="P307" s="277"/>
      <c r="Q307" s="278"/>
    </row>
    <row r="308" spans="1:17" ht="13.95" customHeight="1" x14ac:dyDescent="0.25">
      <c r="A308" s="169"/>
      <c r="B308" s="273"/>
      <c r="C308" s="381" t="s">
        <v>49</v>
      </c>
      <c r="D308" s="936"/>
      <c r="E308" s="937"/>
      <c r="F308" s="937"/>
      <c r="G308" s="937"/>
      <c r="H308" s="937"/>
      <c r="I308" s="378"/>
      <c r="J308" s="264"/>
      <c r="K308" s="264"/>
      <c r="L308" s="264"/>
      <c r="M308" s="264"/>
      <c r="N308" s="264"/>
      <c r="O308" s="264"/>
      <c r="P308" s="277"/>
      <c r="Q308" s="278"/>
    </row>
    <row r="309" spans="1:17" ht="13.95" customHeight="1" x14ac:dyDescent="0.25">
      <c r="A309" s="169"/>
      <c r="B309" s="273"/>
      <c r="C309" s="381" t="s">
        <v>60</v>
      </c>
      <c r="D309" s="936"/>
      <c r="E309" s="937"/>
      <c r="F309" s="937"/>
      <c r="G309" s="937"/>
      <c r="H309" s="937"/>
      <c r="I309" s="378"/>
      <c r="J309" s="264"/>
      <c r="K309" s="264"/>
      <c r="L309" s="264"/>
      <c r="M309" s="264"/>
      <c r="N309" s="264"/>
      <c r="O309" s="264"/>
      <c r="P309" s="277"/>
      <c r="Q309" s="278"/>
    </row>
    <row r="310" spans="1:17" ht="13.95" customHeight="1" x14ac:dyDescent="0.25">
      <c r="A310" s="169"/>
      <c r="B310" s="273"/>
      <c r="C310" s="381" t="s">
        <v>62</v>
      </c>
      <c r="D310" s="936"/>
      <c r="E310" s="937"/>
      <c r="F310" s="937"/>
      <c r="G310" s="937"/>
      <c r="H310" s="937"/>
      <c r="I310" s="378"/>
      <c r="J310" s="264"/>
      <c r="K310" s="264"/>
      <c r="L310" s="264"/>
      <c r="M310" s="264"/>
      <c r="N310" s="264"/>
      <c r="O310" s="264"/>
      <c r="P310" s="277"/>
      <c r="Q310" s="278"/>
    </row>
    <row r="311" spans="1:17" ht="13.95" customHeight="1" x14ac:dyDescent="0.25">
      <c r="A311" s="169"/>
      <c r="B311" s="273"/>
      <c r="C311" s="381" t="s">
        <v>64</v>
      </c>
      <c r="D311" s="936"/>
      <c r="E311" s="937"/>
      <c r="F311" s="937"/>
      <c r="G311" s="937"/>
      <c r="H311" s="937"/>
      <c r="I311" s="378"/>
      <c r="J311" s="264"/>
      <c r="K311" s="264"/>
      <c r="L311" s="264"/>
      <c r="M311" s="264"/>
      <c r="N311" s="264"/>
      <c r="O311" s="264"/>
      <c r="P311" s="277"/>
      <c r="Q311" s="278"/>
    </row>
    <row r="312" spans="1:17" ht="13.95" customHeight="1" x14ac:dyDescent="0.25">
      <c r="A312" s="169"/>
      <c r="B312" s="273"/>
      <c r="C312" s="381" t="s">
        <v>67</v>
      </c>
      <c r="D312" s="936"/>
      <c r="E312" s="937"/>
      <c r="F312" s="937"/>
      <c r="G312" s="937"/>
      <c r="H312" s="937"/>
      <c r="I312" s="378"/>
      <c r="J312" s="264"/>
      <c r="K312" s="264"/>
      <c r="L312" s="264"/>
      <c r="M312" s="264"/>
      <c r="N312" s="264"/>
      <c r="O312" s="264"/>
      <c r="P312" s="277"/>
      <c r="Q312" s="278"/>
    </row>
    <row r="313" spans="1:17" ht="13.95" customHeight="1" x14ac:dyDescent="0.25">
      <c r="A313" s="169"/>
      <c r="B313" s="273"/>
      <c r="C313" s="381" t="s">
        <v>70</v>
      </c>
      <c r="D313" s="936"/>
      <c r="E313" s="937"/>
      <c r="F313" s="937"/>
      <c r="G313" s="937"/>
      <c r="H313" s="937"/>
      <c r="I313" s="378"/>
      <c r="J313" s="264"/>
      <c r="K313" s="264"/>
      <c r="L313" s="264"/>
      <c r="M313" s="264"/>
      <c r="N313" s="264"/>
      <c r="O313" s="264"/>
      <c r="P313" s="277"/>
      <c r="Q313" s="278"/>
    </row>
    <row r="314" spans="1:17" ht="13.95" customHeight="1" x14ac:dyDescent="0.25">
      <c r="A314" s="169"/>
      <c r="B314" s="273"/>
      <c r="C314" s="381" t="s">
        <v>1031</v>
      </c>
      <c r="D314" s="936"/>
      <c r="E314" s="937"/>
      <c r="F314" s="937"/>
      <c r="G314" s="937"/>
      <c r="H314" s="937"/>
      <c r="I314" s="378"/>
      <c r="J314" s="264"/>
      <c r="K314" s="264"/>
      <c r="L314" s="264"/>
      <c r="M314" s="264"/>
      <c r="N314" s="264"/>
      <c r="O314" s="264"/>
      <c r="P314" s="277"/>
      <c r="Q314" s="278"/>
    </row>
    <row r="315" spans="1:17" ht="13.95" customHeight="1" x14ac:dyDescent="0.25">
      <c r="A315" s="169"/>
      <c r="B315" s="273"/>
      <c r="C315" s="381" t="s">
        <v>1032</v>
      </c>
      <c r="D315" s="936"/>
      <c r="E315" s="937"/>
      <c r="F315" s="937"/>
      <c r="G315" s="937"/>
      <c r="H315" s="937"/>
      <c r="I315" s="378"/>
      <c r="J315" s="264"/>
      <c r="K315" s="264"/>
      <c r="L315" s="264"/>
      <c r="M315" s="264"/>
      <c r="N315" s="264"/>
      <c r="O315" s="264"/>
      <c r="P315" s="277"/>
      <c r="Q315" s="278"/>
    </row>
    <row r="316" spans="1:17" ht="13.95" customHeight="1" x14ac:dyDescent="0.25">
      <c r="A316" s="169"/>
      <c r="B316" s="273"/>
      <c r="C316" s="381" t="s">
        <v>1033</v>
      </c>
      <c r="D316" s="936"/>
      <c r="E316" s="937"/>
      <c r="F316" s="937"/>
      <c r="G316" s="937"/>
      <c r="H316" s="937"/>
      <c r="I316" s="378"/>
      <c r="J316" s="264"/>
      <c r="K316" s="264"/>
      <c r="L316" s="264"/>
      <c r="M316" s="264"/>
      <c r="N316" s="264"/>
      <c r="O316" s="264"/>
      <c r="P316" s="277"/>
      <c r="Q316" s="278"/>
    </row>
    <row r="317" spans="1:17" ht="13.95" customHeight="1" x14ac:dyDescent="0.25">
      <c r="A317" s="169"/>
      <c r="B317" s="273"/>
      <c r="C317" s="381" t="s">
        <v>1034</v>
      </c>
      <c r="D317" s="936"/>
      <c r="E317" s="937"/>
      <c r="F317" s="937"/>
      <c r="G317" s="937"/>
      <c r="H317" s="937"/>
      <c r="I317" s="378"/>
      <c r="J317" s="264"/>
      <c r="K317" s="264"/>
      <c r="L317" s="264"/>
      <c r="M317" s="264"/>
      <c r="N317" s="264"/>
      <c r="O317" s="264"/>
      <c r="P317" s="277"/>
      <c r="Q317" s="278"/>
    </row>
    <row r="318" spans="1:17" ht="13.95" customHeight="1" x14ac:dyDescent="0.25">
      <c r="A318" s="169"/>
      <c r="B318" s="273"/>
      <c r="C318" s="381" t="s">
        <v>1035</v>
      </c>
      <c r="D318" s="936"/>
      <c r="E318" s="937"/>
      <c r="F318" s="937"/>
      <c r="G318" s="937"/>
      <c r="H318" s="937"/>
      <c r="I318" s="378"/>
      <c r="J318" s="264"/>
      <c r="K318" s="264"/>
      <c r="L318" s="264"/>
      <c r="M318" s="264"/>
      <c r="N318" s="264"/>
      <c r="O318" s="264"/>
      <c r="P318" s="277"/>
      <c r="Q318" s="278"/>
    </row>
    <row r="319" spans="1:17" ht="13.95" customHeight="1" x14ac:dyDescent="0.25">
      <c r="A319" s="169"/>
      <c r="B319" s="273"/>
      <c r="C319" s="381" t="s">
        <v>1036</v>
      </c>
      <c r="D319" s="936"/>
      <c r="E319" s="937"/>
      <c r="F319" s="937"/>
      <c r="G319" s="937"/>
      <c r="H319" s="937"/>
      <c r="I319" s="378"/>
      <c r="J319" s="264"/>
      <c r="K319" s="264"/>
      <c r="L319" s="264"/>
      <c r="M319" s="264"/>
      <c r="N319" s="264"/>
      <c r="O319" s="264"/>
      <c r="P319" s="277"/>
      <c r="Q319" s="278"/>
    </row>
    <row r="320" spans="1:17" ht="13.95" customHeight="1" x14ac:dyDescent="0.25">
      <c r="A320" s="169"/>
      <c r="B320" s="273"/>
      <c r="C320" s="381" t="s">
        <v>1037</v>
      </c>
      <c r="D320" s="936"/>
      <c r="E320" s="937"/>
      <c r="F320" s="937"/>
      <c r="G320" s="937"/>
      <c r="H320" s="937"/>
      <c r="I320" s="378"/>
      <c r="J320" s="264"/>
      <c r="K320" s="264"/>
      <c r="L320" s="264"/>
      <c r="M320" s="264"/>
      <c r="N320" s="264"/>
      <c r="O320" s="264"/>
      <c r="P320" s="277"/>
      <c r="Q320" s="278"/>
    </row>
    <row r="321" spans="1:17" ht="13.95" customHeight="1" x14ac:dyDescent="0.25">
      <c r="A321" s="169"/>
      <c r="B321" s="273"/>
      <c r="C321" s="381" t="s">
        <v>1038</v>
      </c>
      <c r="D321" s="936"/>
      <c r="E321" s="937"/>
      <c r="F321" s="937"/>
      <c r="G321" s="937"/>
      <c r="H321" s="937"/>
      <c r="I321" s="378"/>
      <c r="J321" s="264"/>
      <c r="K321" s="264"/>
      <c r="L321" s="264"/>
      <c r="M321" s="264"/>
      <c r="N321" s="264"/>
      <c r="O321" s="264"/>
      <c r="P321" s="277"/>
      <c r="Q321" s="278"/>
    </row>
    <row r="322" spans="1:17" ht="13.95" customHeight="1" x14ac:dyDescent="0.25">
      <c r="A322" s="169"/>
      <c r="B322" s="273"/>
      <c r="C322" s="381" t="s">
        <v>72</v>
      </c>
      <c r="D322" s="936"/>
      <c r="E322" s="937"/>
      <c r="F322" s="937"/>
      <c r="G322" s="937"/>
      <c r="H322" s="937"/>
      <c r="I322" s="378"/>
      <c r="J322" s="264"/>
      <c r="K322" s="264"/>
      <c r="L322" s="264"/>
      <c r="M322" s="264"/>
      <c r="N322" s="264"/>
      <c r="O322" s="264"/>
      <c r="P322" s="277"/>
      <c r="Q322" s="278"/>
    </row>
    <row r="323" spans="1:17" ht="13.95" customHeight="1" x14ac:dyDescent="0.25">
      <c r="A323" s="169"/>
      <c r="B323" s="273"/>
      <c r="C323" s="381" t="s">
        <v>75</v>
      </c>
      <c r="D323" s="936"/>
      <c r="E323" s="937"/>
      <c r="F323" s="937"/>
      <c r="G323" s="937"/>
      <c r="H323" s="937"/>
      <c r="I323" s="378"/>
      <c r="J323" s="264"/>
      <c r="K323" s="264"/>
      <c r="L323" s="264"/>
      <c r="M323" s="264"/>
      <c r="N323" s="264"/>
      <c r="O323" s="264"/>
      <c r="P323" s="277"/>
      <c r="Q323" s="278"/>
    </row>
    <row r="324" spans="1:17" ht="13.95" customHeight="1" x14ac:dyDescent="0.25">
      <c r="A324" s="169"/>
      <c r="B324" s="273"/>
      <c r="C324" s="381" t="s">
        <v>78</v>
      </c>
      <c r="D324" s="936"/>
      <c r="E324" s="937"/>
      <c r="F324" s="937"/>
      <c r="G324" s="937"/>
      <c r="H324" s="937"/>
      <c r="I324" s="378"/>
      <c r="J324" s="264"/>
      <c r="K324" s="264"/>
      <c r="L324" s="264"/>
      <c r="M324" s="264"/>
      <c r="N324" s="264"/>
      <c r="O324" s="264"/>
      <c r="P324" s="277"/>
      <c r="Q324" s="278"/>
    </row>
    <row r="325" spans="1:17" ht="13.95" customHeight="1" x14ac:dyDescent="0.25">
      <c r="A325" s="169"/>
      <c r="B325" s="273"/>
      <c r="C325" s="381" t="s">
        <v>81</v>
      </c>
      <c r="D325" s="936"/>
      <c r="E325" s="937"/>
      <c r="F325" s="937"/>
      <c r="G325" s="937"/>
      <c r="H325" s="937"/>
      <c r="I325" s="378"/>
      <c r="J325" s="264"/>
      <c r="K325" s="264"/>
      <c r="L325" s="264"/>
      <c r="M325" s="264"/>
      <c r="N325" s="264"/>
      <c r="O325" s="264"/>
      <c r="P325" s="277"/>
      <c r="Q325" s="278"/>
    </row>
    <row r="326" spans="1:17" ht="13.95" customHeight="1" x14ac:dyDescent="0.25">
      <c r="A326" s="169"/>
      <c r="B326" s="273"/>
      <c r="C326" s="381" t="s">
        <v>83</v>
      </c>
      <c r="D326" s="936"/>
      <c r="E326" s="937"/>
      <c r="F326" s="937"/>
      <c r="G326" s="937"/>
      <c r="H326" s="937"/>
      <c r="I326" s="378"/>
      <c r="J326" s="264"/>
      <c r="K326" s="264"/>
      <c r="L326" s="264"/>
      <c r="M326" s="264"/>
      <c r="N326" s="264"/>
      <c r="O326" s="264"/>
      <c r="P326" s="277"/>
      <c r="Q326" s="278"/>
    </row>
    <row r="327" spans="1:17" ht="13.95" customHeight="1" x14ac:dyDescent="0.25">
      <c r="A327" s="169"/>
      <c r="B327" s="273"/>
      <c r="C327" s="381" t="s">
        <v>85</v>
      </c>
      <c r="D327" s="936"/>
      <c r="E327" s="937"/>
      <c r="F327" s="937"/>
      <c r="G327" s="937"/>
      <c r="H327" s="937"/>
      <c r="I327" s="378"/>
      <c r="J327" s="264"/>
      <c r="K327" s="264"/>
      <c r="L327" s="264"/>
      <c r="M327" s="264"/>
      <c r="N327" s="264"/>
      <c r="O327" s="264"/>
      <c r="P327" s="277"/>
      <c r="Q327" s="278"/>
    </row>
    <row r="328" spans="1:17" ht="13.95" customHeight="1" x14ac:dyDescent="0.25">
      <c r="A328" s="169"/>
      <c r="B328" s="273"/>
      <c r="C328" s="381" t="s">
        <v>87</v>
      </c>
      <c r="D328" s="936"/>
      <c r="E328" s="937"/>
      <c r="F328" s="937"/>
      <c r="G328" s="937"/>
      <c r="H328" s="937"/>
      <c r="I328" s="378"/>
      <c r="J328" s="264"/>
      <c r="K328" s="264"/>
      <c r="L328" s="264"/>
      <c r="M328" s="264"/>
      <c r="N328" s="264"/>
      <c r="O328" s="264"/>
      <c r="P328" s="277"/>
      <c r="Q328" s="278"/>
    </row>
    <row r="329" spans="1:17" ht="13.95" customHeight="1" x14ac:dyDescent="0.25">
      <c r="A329" s="169"/>
      <c r="B329" s="273"/>
      <c r="C329" s="381" t="s">
        <v>1039</v>
      </c>
      <c r="D329" s="936"/>
      <c r="E329" s="937"/>
      <c r="F329" s="937"/>
      <c r="G329" s="937"/>
      <c r="H329" s="937"/>
      <c r="I329" s="378"/>
      <c r="J329" s="264"/>
      <c r="K329" s="264"/>
      <c r="L329" s="264"/>
      <c r="M329" s="264"/>
      <c r="N329" s="264"/>
      <c r="O329" s="264"/>
      <c r="P329" s="277"/>
      <c r="Q329" s="278"/>
    </row>
    <row r="330" spans="1:17" ht="13.95" customHeight="1" x14ac:dyDescent="0.25">
      <c r="A330" s="169"/>
      <c r="B330" s="273"/>
      <c r="C330" s="381" t="s">
        <v>1040</v>
      </c>
      <c r="D330" s="936"/>
      <c r="E330" s="937"/>
      <c r="F330" s="937"/>
      <c r="G330" s="937"/>
      <c r="H330" s="937"/>
      <c r="I330" s="378"/>
      <c r="J330" s="264"/>
      <c r="K330" s="264"/>
      <c r="L330" s="264"/>
      <c r="M330" s="264"/>
      <c r="N330" s="264"/>
      <c r="O330" s="264"/>
      <c r="P330" s="277"/>
      <c r="Q330" s="278"/>
    </row>
    <row r="331" spans="1:17" ht="13.95" customHeight="1" x14ac:dyDescent="0.25">
      <c r="A331" s="169"/>
      <c r="B331" s="273"/>
      <c r="C331" s="381" t="s">
        <v>1041</v>
      </c>
      <c r="D331" s="936"/>
      <c r="E331" s="937"/>
      <c r="F331" s="937"/>
      <c r="G331" s="937"/>
      <c r="H331" s="937"/>
      <c r="I331" s="378"/>
      <c r="J331" s="264"/>
      <c r="K331" s="264"/>
      <c r="L331" s="264"/>
      <c r="M331" s="264"/>
      <c r="N331" s="264"/>
      <c r="O331" s="264"/>
      <c r="P331" s="277"/>
      <c r="Q331" s="278"/>
    </row>
    <row r="332" spans="1:17" ht="13.95" customHeight="1" x14ac:dyDescent="0.25">
      <c r="A332" s="169"/>
      <c r="B332" s="273"/>
      <c r="C332" s="381" t="s">
        <v>1042</v>
      </c>
      <c r="D332" s="936"/>
      <c r="E332" s="937"/>
      <c r="F332" s="937"/>
      <c r="G332" s="937"/>
      <c r="H332" s="937"/>
      <c r="I332" s="378"/>
      <c r="J332" s="264"/>
      <c r="K332" s="264"/>
      <c r="L332" s="264"/>
      <c r="M332" s="264"/>
      <c r="N332" s="264"/>
      <c r="O332" s="264"/>
      <c r="P332" s="277"/>
      <c r="Q332" s="278"/>
    </row>
    <row r="333" spans="1:17" ht="13.95" customHeight="1" x14ac:dyDescent="0.25">
      <c r="A333" s="169"/>
      <c r="B333" s="273"/>
      <c r="C333" s="381" t="s">
        <v>1043</v>
      </c>
      <c r="D333" s="936"/>
      <c r="E333" s="937"/>
      <c r="F333" s="937"/>
      <c r="G333" s="937"/>
      <c r="H333" s="937"/>
      <c r="I333" s="378"/>
      <c r="J333" s="264"/>
      <c r="K333" s="264"/>
      <c r="L333" s="264"/>
      <c r="M333" s="264"/>
      <c r="N333" s="264"/>
      <c r="O333" s="264"/>
      <c r="P333" s="277"/>
      <c r="Q333" s="278"/>
    </row>
    <row r="334" spans="1:17" ht="13.95" customHeight="1" x14ac:dyDescent="0.25">
      <c r="A334" s="169"/>
      <c r="B334" s="273"/>
      <c r="C334" s="381" t="s">
        <v>1044</v>
      </c>
      <c r="D334" s="936"/>
      <c r="E334" s="937"/>
      <c r="F334" s="937"/>
      <c r="G334" s="937"/>
      <c r="H334" s="937"/>
      <c r="I334" s="378"/>
      <c r="J334" s="264"/>
      <c r="K334" s="264"/>
      <c r="L334" s="264"/>
      <c r="M334" s="264"/>
      <c r="N334" s="264"/>
      <c r="O334" s="264"/>
      <c r="P334" s="277"/>
      <c r="Q334" s="278"/>
    </row>
    <row r="335" spans="1:17" ht="13.95" customHeight="1" x14ac:dyDescent="0.25">
      <c r="A335" s="169"/>
      <c r="B335" s="273"/>
      <c r="C335" s="381" t="s">
        <v>1045</v>
      </c>
      <c r="D335" s="936"/>
      <c r="E335" s="937"/>
      <c r="F335" s="937"/>
      <c r="G335" s="937"/>
      <c r="H335" s="937"/>
      <c r="I335" s="378"/>
      <c r="J335" s="264"/>
      <c r="K335" s="264"/>
      <c r="L335" s="264"/>
      <c r="M335" s="264"/>
      <c r="N335" s="264"/>
      <c r="O335" s="264"/>
      <c r="P335" s="277"/>
      <c r="Q335" s="278"/>
    </row>
    <row r="336" spans="1:17" ht="13.95" customHeight="1" x14ac:dyDescent="0.25">
      <c r="A336" s="169"/>
      <c r="B336" s="273"/>
      <c r="C336" s="381" t="s">
        <v>1046</v>
      </c>
      <c r="D336" s="936"/>
      <c r="E336" s="937"/>
      <c r="F336" s="937"/>
      <c r="G336" s="937"/>
      <c r="H336" s="937"/>
      <c r="I336" s="378"/>
      <c r="J336" s="264"/>
      <c r="K336" s="264"/>
      <c r="L336" s="264"/>
      <c r="M336" s="264"/>
      <c r="N336" s="264"/>
      <c r="O336" s="264"/>
      <c r="P336" s="277"/>
      <c r="Q336" s="278"/>
    </row>
    <row r="337" spans="1:17" ht="13.95" customHeight="1" x14ac:dyDescent="0.25">
      <c r="A337" s="169"/>
      <c r="B337" s="273"/>
      <c r="C337" s="381" t="s">
        <v>1047</v>
      </c>
      <c r="D337" s="936"/>
      <c r="E337" s="937"/>
      <c r="F337" s="937"/>
      <c r="G337" s="937"/>
      <c r="H337" s="937"/>
      <c r="I337" s="378"/>
      <c r="J337" s="264"/>
      <c r="K337" s="264"/>
      <c r="L337" s="264"/>
      <c r="M337" s="264"/>
      <c r="N337" s="264"/>
      <c r="O337" s="264"/>
      <c r="P337" s="277"/>
      <c r="Q337" s="278"/>
    </row>
    <row r="338" spans="1:17" ht="13.95" customHeight="1" x14ac:dyDescent="0.25">
      <c r="A338" s="169"/>
      <c r="B338" s="273"/>
      <c r="C338" s="381" t="s">
        <v>1048</v>
      </c>
      <c r="D338" s="936"/>
      <c r="E338" s="937"/>
      <c r="F338" s="937"/>
      <c r="G338" s="937"/>
      <c r="H338" s="937"/>
      <c r="I338" s="378"/>
      <c r="J338" s="264"/>
      <c r="K338" s="264"/>
      <c r="L338" s="264"/>
      <c r="M338" s="264"/>
      <c r="N338" s="264"/>
      <c r="O338" s="264"/>
      <c r="P338" s="277"/>
      <c r="Q338" s="278"/>
    </row>
    <row r="339" spans="1:17" ht="13.95" customHeight="1" x14ac:dyDescent="0.25">
      <c r="A339" s="169"/>
      <c r="B339" s="273"/>
      <c r="C339" s="381" t="s">
        <v>1049</v>
      </c>
      <c r="D339" s="936"/>
      <c r="E339" s="937"/>
      <c r="F339" s="937"/>
      <c r="G339" s="937"/>
      <c r="H339" s="937"/>
      <c r="I339" s="378"/>
      <c r="J339" s="264"/>
      <c r="K339" s="264"/>
      <c r="L339" s="264"/>
      <c r="M339" s="264"/>
      <c r="N339" s="264"/>
      <c r="O339" s="264"/>
      <c r="P339" s="277"/>
      <c r="Q339" s="278"/>
    </row>
    <row r="340" spans="1:17" ht="13.95" customHeight="1" x14ac:dyDescent="0.25">
      <c r="A340" s="169"/>
      <c r="B340" s="273"/>
      <c r="C340" s="381" t="s">
        <v>222</v>
      </c>
      <c r="D340" s="936"/>
      <c r="E340" s="937"/>
      <c r="F340" s="937"/>
      <c r="G340" s="937"/>
      <c r="H340" s="937"/>
      <c r="I340" s="378"/>
      <c r="J340" s="264"/>
      <c r="K340" s="264"/>
      <c r="L340" s="264"/>
      <c r="M340" s="264"/>
      <c r="N340" s="264"/>
      <c r="O340" s="264"/>
      <c r="P340" s="277"/>
      <c r="Q340" s="278"/>
    </row>
    <row r="341" spans="1:17" ht="13.95" customHeight="1" x14ac:dyDescent="0.25">
      <c r="A341" s="169"/>
      <c r="B341" s="273"/>
      <c r="C341" s="381" t="s">
        <v>223</v>
      </c>
      <c r="D341" s="936"/>
      <c r="E341" s="937"/>
      <c r="F341" s="937"/>
      <c r="G341" s="937"/>
      <c r="H341" s="937"/>
      <c r="I341" s="378"/>
      <c r="J341" s="264"/>
      <c r="K341" s="264"/>
      <c r="L341" s="264"/>
      <c r="M341" s="264"/>
      <c r="N341" s="264"/>
      <c r="O341" s="264"/>
      <c r="P341" s="277"/>
      <c r="Q341" s="278"/>
    </row>
    <row r="342" spans="1:17" ht="13.95" customHeight="1" x14ac:dyDescent="0.25">
      <c r="A342" s="169"/>
      <c r="B342" s="273"/>
      <c r="C342" s="381" t="s">
        <v>224</v>
      </c>
      <c r="D342" s="936"/>
      <c r="E342" s="937"/>
      <c r="F342" s="937"/>
      <c r="G342" s="937"/>
      <c r="H342" s="937"/>
      <c r="I342" s="378"/>
      <c r="J342" s="264"/>
      <c r="K342" s="264"/>
      <c r="L342" s="264"/>
      <c r="M342" s="264"/>
      <c r="N342" s="264"/>
      <c r="O342" s="264"/>
      <c r="P342" s="277"/>
      <c r="Q342" s="278"/>
    </row>
    <row r="343" spans="1:17" ht="13.95" customHeight="1" x14ac:dyDescent="0.25">
      <c r="A343" s="169"/>
      <c r="B343" s="273"/>
      <c r="C343" s="381" t="s">
        <v>225</v>
      </c>
      <c r="D343" s="936"/>
      <c r="E343" s="937"/>
      <c r="F343" s="937"/>
      <c r="G343" s="937"/>
      <c r="H343" s="937"/>
      <c r="I343" s="378"/>
      <c r="J343" s="264"/>
      <c r="K343" s="264"/>
      <c r="L343" s="264"/>
      <c r="M343" s="264"/>
      <c r="N343" s="264"/>
      <c r="O343" s="264"/>
      <c r="P343" s="277"/>
      <c r="Q343" s="278"/>
    </row>
    <row r="344" spans="1:17" ht="13.95" customHeight="1" x14ac:dyDescent="0.25">
      <c r="A344" s="169"/>
      <c r="B344" s="273"/>
      <c r="C344" s="381" t="s">
        <v>1059</v>
      </c>
      <c r="D344" s="936"/>
      <c r="E344" s="937"/>
      <c r="F344" s="937"/>
      <c r="G344" s="937"/>
      <c r="H344" s="937"/>
      <c r="I344" s="378"/>
      <c r="J344" s="264"/>
      <c r="K344" s="264"/>
      <c r="L344" s="264"/>
      <c r="M344" s="264"/>
      <c r="N344" s="264"/>
      <c r="O344" s="264"/>
      <c r="P344" s="277"/>
      <c r="Q344" s="278"/>
    </row>
    <row r="345" spans="1:17" ht="13.95" customHeight="1" x14ac:dyDescent="0.25">
      <c r="A345" s="169"/>
      <c r="B345" s="273"/>
      <c r="C345" s="381" t="s">
        <v>226</v>
      </c>
      <c r="D345" s="936"/>
      <c r="E345" s="937"/>
      <c r="F345" s="937"/>
      <c r="G345" s="937"/>
      <c r="H345" s="937"/>
      <c r="I345" s="378"/>
      <c r="J345" s="264"/>
      <c r="K345" s="264"/>
      <c r="L345" s="264"/>
      <c r="M345" s="264"/>
      <c r="N345" s="264"/>
      <c r="O345" s="264"/>
      <c r="P345" s="277"/>
      <c r="Q345" s="278"/>
    </row>
    <row r="346" spans="1:17" ht="13.95" customHeight="1" x14ac:dyDescent="0.25">
      <c r="A346" s="169"/>
      <c r="B346" s="273"/>
      <c r="C346" s="381" t="s">
        <v>227</v>
      </c>
      <c r="D346" s="936"/>
      <c r="E346" s="937"/>
      <c r="F346" s="937"/>
      <c r="G346" s="937"/>
      <c r="H346" s="937"/>
      <c r="I346" s="378"/>
      <c r="J346" s="264"/>
      <c r="K346" s="264"/>
      <c r="L346" s="264"/>
      <c r="M346" s="264"/>
      <c r="N346" s="264"/>
      <c r="O346" s="264"/>
      <c r="P346" s="277"/>
      <c r="Q346" s="278"/>
    </row>
    <row r="347" spans="1:17" ht="13.95" customHeight="1" x14ac:dyDescent="0.25">
      <c r="A347" s="169"/>
      <c r="B347" s="273"/>
      <c r="C347" s="381" t="s">
        <v>228</v>
      </c>
      <c r="D347" s="936"/>
      <c r="E347" s="937"/>
      <c r="F347" s="937"/>
      <c r="G347" s="937"/>
      <c r="H347" s="937"/>
      <c r="I347" s="378"/>
      <c r="J347" s="264"/>
      <c r="K347" s="264"/>
      <c r="L347" s="264"/>
      <c r="M347" s="264"/>
      <c r="N347" s="264"/>
      <c r="O347" s="264"/>
      <c r="P347" s="277"/>
      <c r="Q347" s="278"/>
    </row>
    <row r="348" spans="1:17" ht="13.95" customHeight="1" x14ac:dyDescent="0.25">
      <c r="A348" s="169"/>
      <c r="B348" s="273"/>
      <c r="C348" s="381" t="s">
        <v>229</v>
      </c>
      <c r="D348" s="936"/>
      <c r="E348" s="937"/>
      <c r="F348" s="937"/>
      <c r="G348" s="937"/>
      <c r="H348" s="937"/>
      <c r="I348" s="378"/>
      <c r="J348" s="264"/>
      <c r="K348" s="264"/>
      <c r="L348" s="264"/>
      <c r="M348" s="264"/>
      <c r="N348" s="264"/>
      <c r="O348" s="264"/>
      <c r="P348" s="277"/>
      <c r="Q348" s="278"/>
    </row>
    <row r="349" spans="1:17" ht="13.95" customHeight="1" x14ac:dyDescent="0.25">
      <c r="A349" s="169"/>
      <c r="B349" s="273"/>
      <c r="C349" s="381" t="s">
        <v>230</v>
      </c>
      <c r="D349" s="936"/>
      <c r="E349" s="937"/>
      <c r="F349" s="937"/>
      <c r="G349" s="937"/>
      <c r="H349" s="937"/>
      <c r="I349" s="378"/>
      <c r="J349" s="264"/>
      <c r="K349" s="264"/>
      <c r="L349" s="264"/>
      <c r="M349" s="264"/>
      <c r="N349" s="264"/>
      <c r="O349" s="264"/>
      <c r="P349" s="277"/>
      <c r="Q349" s="278"/>
    </row>
    <row r="350" spans="1:17" ht="13.95" customHeight="1" x14ac:dyDescent="0.25">
      <c r="A350" s="169"/>
      <c r="B350" s="273"/>
      <c r="C350" s="381" t="s">
        <v>231</v>
      </c>
      <c r="D350" s="936"/>
      <c r="E350" s="937"/>
      <c r="F350" s="937"/>
      <c r="G350" s="937"/>
      <c r="H350" s="937"/>
      <c r="I350" s="378"/>
      <c r="J350" s="264"/>
      <c r="K350" s="264"/>
      <c r="L350" s="264"/>
      <c r="M350" s="264"/>
      <c r="N350" s="264"/>
      <c r="O350" s="264"/>
      <c r="P350" s="277"/>
      <c r="Q350" s="278"/>
    </row>
    <row r="351" spans="1:17" ht="13.95" customHeight="1" x14ac:dyDescent="0.25">
      <c r="A351" s="169"/>
      <c r="B351" s="273"/>
      <c r="C351" s="381" t="s">
        <v>232</v>
      </c>
      <c r="D351" s="936"/>
      <c r="E351" s="937"/>
      <c r="F351" s="937"/>
      <c r="G351" s="937"/>
      <c r="H351" s="937"/>
      <c r="I351" s="378"/>
      <c r="J351" s="264"/>
      <c r="K351" s="264"/>
      <c r="L351" s="264"/>
      <c r="M351" s="264"/>
      <c r="N351" s="264"/>
      <c r="O351" s="264"/>
      <c r="P351" s="277"/>
      <c r="Q351" s="278"/>
    </row>
    <row r="352" spans="1:17" ht="13.95" customHeight="1" x14ac:dyDescent="0.25">
      <c r="A352" s="169"/>
      <c r="B352" s="273"/>
      <c r="C352" s="381" t="s">
        <v>233</v>
      </c>
      <c r="D352" s="936"/>
      <c r="E352" s="937"/>
      <c r="F352" s="937"/>
      <c r="G352" s="937"/>
      <c r="H352" s="937"/>
      <c r="I352" s="378"/>
      <c r="J352" s="264"/>
      <c r="K352" s="264"/>
      <c r="L352" s="264"/>
      <c r="M352" s="264"/>
      <c r="N352" s="264"/>
      <c r="O352" s="264"/>
      <c r="P352" s="277"/>
      <c r="Q352" s="278"/>
    </row>
    <row r="353" spans="1:17" ht="13.95" customHeight="1" x14ac:dyDescent="0.25">
      <c r="A353" s="169"/>
      <c r="B353" s="273"/>
      <c r="C353" s="381" t="s">
        <v>234</v>
      </c>
      <c r="D353" s="936"/>
      <c r="E353" s="937"/>
      <c r="F353" s="937"/>
      <c r="G353" s="937"/>
      <c r="H353" s="937"/>
      <c r="I353" s="378"/>
      <c r="J353" s="264"/>
      <c r="K353" s="264"/>
      <c r="L353" s="264"/>
      <c r="M353" s="264"/>
      <c r="N353" s="264"/>
      <c r="O353" s="264"/>
      <c r="P353" s="277"/>
      <c r="Q353" s="278"/>
    </row>
    <row r="354" spans="1:17" ht="13.95" customHeight="1" x14ac:dyDescent="0.25">
      <c r="A354" s="169"/>
      <c r="B354" s="273"/>
      <c r="C354" s="381" t="s">
        <v>235</v>
      </c>
      <c r="D354" s="936"/>
      <c r="E354" s="937"/>
      <c r="F354" s="937"/>
      <c r="G354" s="937"/>
      <c r="H354" s="937"/>
      <c r="I354" s="378"/>
      <c r="J354" s="264"/>
      <c r="K354" s="264"/>
      <c r="L354" s="264"/>
      <c r="M354" s="264"/>
      <c r="N354" s="264"/>
      <c r="O354" s="264"/>
      <c r="P354" s="277"/>
      <c r="Q354" s="278"/>
    </row>
    <row r="355" spans="1:17" ht="13.95" customHeight="1" x14ac:dyDescent="0.25">
      <c r="A355" s="169"/>
      <c r="B355" s="273"/>
      <c r="C355" s="381" t="s">
        <v>236</v>
      </c>
      <c r="D355" s="936"/>
      <c r="E355" s="937"/>
      <c r="F355" s="937"/>
      <c r="G355" s="937"/>
      <c r="H355" s="937"/>
      <c r="I355" s="378"/>
      <c r="J355" s="264"/>
      <c r="K355" s="264"/>
      <c r="L355" s="264"/>
      <c r="M355" s="264"/>
      <c r="N355" s="264"/>
      <c r="O355" s="264"/>
      <c r="P355" s="277"/>
      <c r="Q355" s="278"/>
    </row>
    <row r="356" spans="1:17" ht="13.95" customHeight="1" x14ac:dyDescent="0.25">
      <c r="A356" s="169"/>
      <c r="B356" s="273"/>
      <c r="C356" s="381" t="s">
        <v>237</v>
      </c>
      <c r="D356" s="936"/>
      <c r="E356" s="937"/>
      <c r="F356" s="937"/>
      <c r="G356" s="937"/>
      <c r="H356" s="937"/>
      <c r="I356" s="378"/>
      <c r="J356" s="264"/>
      <c r="K356" s="264"/>
      <c r="L356" s="264"/>
      <c r="M356" s="264"/>
      <c r="N356" s="264"/>
      <c r="O356" s="264"/>
      <c r="P356" s="277"/>
      <c r="Q356" s="278"/>
    </row>
    <row r="357" spans="1:17" ht="13.95" customHeight="1" x14ac:dyDescent="0.25">
      <c r="A357" s="169"/>
      <c r="B357" s="273"/>
      <c r="C357" s="381" t="s">
        <v>238</v>
      </c>
      <c r="D357" s="936"/>
      <c r="E357" s="937"/>
      <c r="F357" s="937"/>
      <c r="G357" s="937"/>
      <c r="H357" s="937"/>
      <c r="I357" s="378"/>
      <c r="J357" s="264"/>
      <c r="K357" s="264"/>
      <c r="L357" s="264"/>
      <c r="M357" s="264"/>
      <c r="N357" s="264"/>
      <c r="O357" s="264"/>
      <c r="P357" s="277"/>
      <c r="Q357" s="278"/>
    </row>
    <row r="358" spans="1:17" ht="13.95" customHeight="1" x14ac:dyDescent="0.25">
      <c r="A358" s="169"/>
      <c r="B358" s="273"/>
      <c r="C358" s="381" t="s">
        <v>239</v>
      </c>
      <c r="D358" s="936"/>
      <c r="E358" s="937"/>
      <c r="F358" s="937"/>
      <c r="G358" s="937"/>
      <c r="H358" s="937"/>
      <c r="I358" s="378"/>
      <c r="J358" s="264"/>
      <c r="K358" s="264"/>
      <c r="L358" s="264"/>
      <c r="M358" s="264"/>
      <c r="N358" s="264"/>
      <c r="O358" s="264"/>
      <c r="P358" s="277"/>
      <c r="Q358" s="278"/>
    </row>
    <row r="359" spans="1:17" ht="13.95" customHeight="1" x14ac:dyDescent="0.25">
      <c r="A359" s="169"/>
      <c r="B359" s="273"/>
      <c r="C359" s="381" t="s">
        <v>240</v>
      </c>
      <c r="D359" s="936"/>
      <c r="E359" s="937"/>
      <c r="F359" s="937"/>
      <c r="G359" s="937"/>
      <c r="H359" s="937"/>
      <c r="I359" s="378"/>
      <c r="J359" s="264"/>
      <c r="K359" s="264"/>
      <c r="L359" s="264"/>
      <c r="M359" s="264"/>
      <c r="N359" s="264"/>
      <c r="O359" s="264"/>
      <c r="P359" s="277"/>
      <c r="Q359" s="278"/>
    </row>
    <row r="360" spans="1:17" ht="13.95" customHeight="1" x14ac:dyDescent="0.25">
      <c r="A360" s="169"/>
      <c r="B360" s="273"/>
      <c r="C360" s="381" t="s">
        <v>241</v>
      </c>
      <c r="D360" s="936"/>
      <c r="E360" s="937"/>
      <c r="F360" s="937"/>
      <c r="G360" s="937"/>
      <c r="H360" s="937"/>
      <c r="I360" s="378"/>
      <c r="J360" s="264"/>
      <c r="K360" s="264"/>
      <c r="L360" s="264"/>
      <c r="M360" s="264"/>
      <c r="N360" s="264"/>
      <c r="O360" s="264"/>
      <c r="P360" s="277"/>
      <c r="Q360" s="278"/>
    </row>
    <row r="361" spans="1:17" ht="13.95" customHeight="1" x14ac:dyDescent="0.25">
      <c r="A361" s="169"/>
      <c r="B361" s="273"/>
      <c r="C361" s="381" t="s">
        <v>242</v>
      </c>
      <c r="D361" s="936"/>
      <c r="E361" s="937"/>
      <c r="F361" s="937"/>
      <c r="G361" s="937"/>
      <c r="H361" s="937"/>
      <c r="I361" s="378"/>
      <c r="J361" s="264"/>
      <c r="K361" s="264"/>
      <c r="L361" s="264"/>
      <c r="M361" s="264"/>
      <c r="N361" s="264"/>
      <c r="O361" s="264"/>
      <c r="P361" s="277"/>
      <c r="Q361" s="278"/>
    </row>
    <row r="362" spans="1:17" ht="13.95" customHeight="1" x14ac:dyDescent="0.25">
      <c r="A362" s="169"/>
      <c r="B362" s="273"/>
      <c r="C362" s="381" t="s">
        <v>243</v>
      </c>
      <c r="D362" s="936"/>
      <c r="E362" s="937"/>
      <c r="F362" s="937"/>
      <c r="G362" s="937"/>
      <c r="H362" s="937"/>
      <c r="I362" s="378"/>
      <c r="J362" s="264"/>
      <c r="K362" s="264"/>
      <c r="L362" s="264"/>
      <c r="M362" s="264"/>
      <c r="N362" s="264"/>
      <c r="O362" s="264"/>
      <c r="P362" s="277"/>
      <c r="Q362" s="278"/>
    </row>
    <row r="363" spans="1:17" ht="13.95" customHeight="1" x14ac:dyDescent="0.25">
      <c r="A363" s="169"/>
      <c r="B363" s="273"/>
      <c r="C363" s="381" t="s">
        <v>245</v>
      </c>
      <c r="D363" s="936"/>
      <c r="E363" s="937"/>
      <c r="F363" s="937"/>
      <c r="G363" s="937"/>
      <c r="H363" s="937"/>
      <c r="I363" s="378"/>
      <c r="J363" s="264"/>
      <c r="K363" s="264"/>
      <c r="L363" s="264"/>
      <c r="M363" s="264"/>
      <c r="N363" s="264"/>
      <c r="O363" s="264"/>
      <c r="P363" s="277"/>
      <c r="Q363" s="278"/>
    </row>
    <row r="364" spans="1:17" ht="13.95" customHeight="1" x14ac:dyDescent="0.25">
      <c r="A364" s="169"/>
      <c r="B364" s="273"/>
      <c r="C364" s="381" t="s">
        <v>246</v>
      </c>
      <c r="D364" s="936"/>
      <c r="E364" s="937"/>
      <c r="F364" s="937"/>
      <c r="G364" s="937"/>
      <c r="H364" s="937"/>
      <c r="I364" s="378"/>
      <c r="J364" s="264"/>
      <c r="K364" s="264"/>
      <c r="L364" s="264"/>
      <c r="M364" s="264"/>
      <c r="N364" s="264"/>
      <c r="O364" s="264"/>
      <c r="P364" s="277"/>
      <c r="Q364" s="278"/>
    </row>
    <row r="365" spans="1:17" ht="13.95" customHeight="1" x14ac:dyDescent="0.25">
      <c r="A365" s="169"/>
      <c r="B365" s="273"/>
      <c r="C365" s="381" t="s">
        <v>247</v>
      </c>
      <c r="D365" s="936"/>
      <c r="E365" s="937"/>
      <c r="F365" s="937"/>
      <c r="G365" s="937"/>
      <c r="H365" s="937"/>
      <c r="I365" s="378"/>
      <c r="J365" s="264"/>
      <c r="K365" s="264"/>
      <c r="L365" s="264"/>
      <c r="M365" s="264"/>
      <c r="N365" s="264"/>
      <c r="O365" s="264"/>
      <c r="P365" s="277"/>
      <c r="Q365" s="278"/>
    </row>
    <row r="366" spans="1:17" ht="13.95" customHeight="1" x14ac:dyDescent="0.25">
      <c r="A366" s="169"/>
      <c r="B366" s="273"/>
      <c r="C366" s="381" t="s">
        <v>248</v>
      </c>
      <c r="D366" s="936"/>
      <c r="E366" s="937"/>
      <c r="F366" s="937"/>
      <c r="G366" s="937"/>
      <c r="H366" s="937"/>
      <c r="I366" s="378"/>
      <c r="J366" s="264"/>
      <c r="K366" s="264"/>
      <c r="L366" s="264"/>
      <c r="M366" s="264"/>
      <c r="N366" s="264"/>
      <c r="O366" s="264"/>
      <c r="P366" s="277"/>
      <c r="Q366" s="278"/>
    </row>
    <row r="367" spans="1:17" ht="13.95" customHeight="1" x14ac:dyDescent="0.25">
      <c r="A367" s="169"/>
      <c r="B367" s="273"/>
      <c r="C367" s="381" t="s">
        <v>249</v>
      </c>
      <c r="D367" s="936"/>
      <c r="E367" s="937"/>
      <c r="F367" s="937"/>
      <c r="G367" s="937"/>
      <c r="H367" s="937"/>
      <c r="I367" s="378"/>
      <c r="J367" s="264"/>
      <c r="K367" s="264"/>
      <c r="L367" s="264"/>
      <c r="M367" s="264"/>
      <c r="N367" s="264"/>
      <c r="O367" s="264"/>
      <c r="P367" s="277"/>
      <c r="Q367" s="278"/>
    </row>
    <row r="368" spans="1:17" ht="13.95" customHeight="1" x14ac:dyDescent="0.25">
      <c r="A368" s="169"/>
      <c r="B368" s="273"/>
      <c r="C368" s="381" t="s">
        <v>250</v>
      </c>
      <c r="D368" s="936"/>
      <c r="E368" s="937"/>
      <c r="F368" s="937"/>
      <c r="G368" s="937"/>
      <c r="H368" s="937"/>
      <c r="I368" s="378"/>
      <c r="J368" s="264"/>
      <c r="K368" s="264"/>
      <c r="L368" s="264"/>
      <c r="M368" s="264"/>
      <c r="N368" s="264"/>
      <c r="O368" s="264"/>
      <c r="P368" s="277"/>
      <c r="Q368" s="278"/>
    </row>
    <row r="369" spans="1:17" ht="13.95" customHeight="1" x14ac:dyDescent="0.25">
      <c r="A369" s="169"/>
      <c r="B369" s="273"/>
      <c r="C369" s="381" t="s">
        <v>1122</v>
      </c>
      <c r="D369" s="936"/>
      <c r="E369" s="937"/>
      <c r="F369" s="937"/>
      <c r="G369" s="937"/>
      <c r="H369" s="937"/>
      <c r="I369" s="378"/>
      <c r="J369" s="264"/>
      <c r="K369" s="264"/>
      <c r="L369" s="264"/>
      <c r="M369" s="264"/>
      <c r="N369" s="264"/>
      <c r="O369" s="264"/>
      <c r="P369" s="277"/>
      <c r="Q369" s="278"/>
    </row>
    <row r="370" spans="1:17" ht="13.95" customHeight="1" x14ac:dyDescent="0.25">
      <c r="A370" s="169"/>
      <c r="B370" s="273"/>
      <c r="C370" s="381" t="s">
        <v>1123</v>
      </c>
      <c r="D370" s="936"/>
      <c r="E370" s="937"/>
      <c r="F370" s="937"/>
      <c r="G370" s="937"/>
      <c r="H370" s="937"/>
      <c r="I370" s="378"/>
      <c r="J370" s="264"/>
      <c r="K370" s="264"/>
      <c r="L370" s="264"/>
      <c r="M370" s="264"/>
      <c r="N370" s="264"/>
      <c r="O370" s="264"/>
      <c r="P370" s="277"/>
      <c r="Q370" s="278"/>
    </row>
    <row r="371" spans="1:17" ht="13.95" customHeight="1" x14ac:dyDescent="0.25">
      <c r="A371" s="169"/>
      <c r="B371" s="273"/>
      <c r="C371" s="381" t="s">
        <v>1124</v>
      </c>
      <c r="D371" s="936"/>
      <c r="E371" s="937"/>
      <c r="F371" s="937"/>
      <c r="G371" s="937"/>
      <c r="H371" s="937"/>
      <c r="I371" s="378"/>
      <c r="J371" s="264"/>
      <c r="K371" s="264"/>
      <c r="L371" s="264"/>
      <c r="M371" s="264"/>
      <c r="N371" s="264"/>
      <c r="O371" s="264"/>
      <c r="P371" s="277"/>
      <c r="Q371" s="278"/>
    </row>
    <row r="372" spans="1:17" ht="13.95" customHeight="1" x14ac:dyDescent="0.25">
      <c r="A372" s="169"/>
      <c r="B372" s="273"/>
      <c r="C372" s="381" t="s">
        <v>1125</v>
      </c>
      <c r="D372" s="936"/>
      <c r="E372" s="937"/>
      <c r="F372" s="937"/>
      <c r="G372" s="937"/>
      <c r="H372" s="937"/>
      <c r="I372" s="378"/>
      <c r="J372" s="264"/>
      <c r="K372" s="264"/>
      <c r="L372" s="264"/>
      <c r="M372" s="264"/>
      <c r="N372" s="264"/>
      <c r="O372" s="264"/>
      <c r="P372" s="277"/>
      <c r="Q372" s="278"/>
    </row>
    <row r="373" spans="1:17" ht="13.95" customHeight="1" x14ac:dyDescent="0.25">
      <c r="A373" s="169"/>
      <c r="B373" s="273"/>
      <c r="C373" s="381" t="s">
        <v>1126</v>
      </c>
      <c r="D373" s="936"/>
      <c r="E373" s="937"/>
      <c r="F373" s="937"/>
      <c r="G373" s="937"/>
      <c r="H373" s="937"/>
      <c r="I373" s="378"/>
      <c r="J373" s="264"/>
      <c r="K373" s="264"/>
      <c r="L373" s="264"/>
      <c r="M373" s="264"/>
      <c r="N373" s="264"/>
      <c r="O373" s="264"/>
      <c r="P373" s="277"/>
      <c r="Q373" s="278"/>
    </row>
    <row r="374" spans="1:17" ht="13.95" customHeight="1" x14ac:dyDescent="0.25">
      <c r="A374" s="169"/>
      <c r="B374" s="273"/>
      <c r="C374" s="381" t="s">
        <v>1128</v>
      </c>
      <c r="D374" s="936"/>
      <c r="E374" s="937"/>
      <c r="F374" s="937"/>
      <c r="G374" s="937"/>
      <c r="H374" s="937"/>
      <c r="I374" s="378"/>
      <c r="J374" s="264"/>
      <c r="K374" s="264"/>
      <c r="L374" s="264"/>
      <c r="M374" s="264"/>
      <c r="N374" s="264"/>
      <c r="O374" s="264"/>
      <c r="P374" s="277"/>
      <c r="Q374" s="278"/>
    </row>
    <row r="375" spans="1:17" ht="13.95" customHeight="1" x14ac:dyDescent="0.25">
      <c r="A375" s="169"/>
      <c r="B375" s="273"/>
      <c r="C375" s="381" t="s">
        <v>1129</v>
      </c>
      <c r="D375" s="936"/>
      <c r="E375" s="937"/>
      <c r="F375" s="937"/>
      <c r="G375" s="937"/>
      <c r="H375" s="937"/>
      <c r="I375" s="378"/>
      <c r="J375" s="264"/>
      <c r="K375" s="264"/>
      <c r="L375" s="264"/>
      <c r="M375" s="264"/>
      <c r="N375" s="264"/>
      <c r="O375" s="264"/>
      <c r="P375" s="277"/>
      <c r="Q375" s="278"/>
    </row>
    <row r="376" spans="1:17" ht="13.95" customHeight="1" x14ac:dyDescent="0.25">
      <c r="A376" s="169"/>
      <c r="B376" s="273"/>
      <c r="C376" s="381" t="s">
        <v>1130</v>
      </c>
      <c r="D376" s="936"/>
      <c r="E376" s="937"/>
      <c r="F376" s="937"/>
      <c r="G376" s="937"/>
      <c r="H376" s="937"/>
      <c r="I376" s="378"/>
      <c r="J376" s="264"/>
      <c r="K376" s="264"/>
      <c r="L376" s="264"/>
      <c r="M376" s="264"/>
      <c r="N376" s="264"/>
      <c r="O376" s="264"/>
      <c r="P376" s="277"/>
      <c r="Q376" s="278"/>
    </row>
    <row r="377" spans="1:17" ht="13.95" customHeight="1" x14ac:dyDescent="0.25">
      <c r="A377" s="169"/>
      <c r="B377" s="273"/>
      <c r="C377" s="381" t="s">
        <v>1131</v>
      </c>
      <c r="D377" s="936"/>
      <c r="E377" s="937"/>
      <c r="F377" s="937"/>
      <c r="G377" s="937"/>
      <c r="H377" s="937"/>
      <c r="I377" s="378"/>
      <c r="J377" s="264"/>
      <c r="K377" s="264"/>
      <c r="L377" s="264"/>
      <c r="M377" s="264"/>
      <c r="N377" s="264"/>
      <c r="O377" s="264"/>
      <c r="P377" s="277"/>
      <c r="Q377" s="278"/>
    </row>
    <row r="378" spans="1:17" ht="13.95" customHeight="1" x14ac:dyDescent="0.25">
      <c r="A378" s="169"/>
      <c r="B378" s="273"/>
      <c r="C378" s="381" t="s">
        <v>1132</v>
      </c>
      <c r="D378" s="936"/>
      <c r="E378" s="937"/>
      <c r="F378" s="937"/>
      <c r="G378" s="937"/>
      <c r="H378" s="937"/>
      <c r="I378" s="378"/>
      <c r="J378" s="264"/>
      <c r="K378" s="264"/>
      <c r="L378" s="264"/>
      <c r="M378" s="264"/>
      <c r="N378" s="264"/>
      <c r="O378" s="264"/>
      <c r="P378" s="277"/>
      <c r="Q378" s="278"/>
    </row>
    <row r="379" spans="1:17" ht="13.95" customHeight="1" x14ac:dyDescent="0.25">
      <c r="A379" s="169"/>
      <c r="B379" s="273"/>
      <c r="C379" s="381" t="s">
        <v>1133</v>
      </c>
      <c r="D379" s="936"/>
      <c r="E379" s="937"/>
      <c r="F379" s="937"/>
      <c r="G379" s="937"/>
      <c r="H379" s="937"/>
      <c r="I379" s="378"/>
      <c r="J379" s="264"/>
      <c r="K379" s="264"/>
      <c r="L379" s="264"/>
      <c r="M379" s="264"/>
      <c r="N379" s="264"/>
      <c r="O379" s="264"/>
      <c r="P379" s="277"/>
      <c r="Q379" s="278"/>
    </row>
    <row r="380" spans="1:17" ht="13.95" customHeight="1" x14ac:dyDescent="0.25">
      <c r="A380" s="169"/>
      <c r="B380" s="273"/>
      <c r="C380" s="381" t="s">
        <v>1134</v>
      </c>
      <c r="D380" s="936"/>
      <c r="E380" s="937"/>
      <c r="F380" s="937"/>
      <c r="G380" s="937"/>
      <c r="H380" s="937"/>
      <c r="I380" s="378"/>
      <c r="J380" s="264"/>
      <c r="K380" s="264"/>
      <c r="L380" s="264"/>
      <c r="M380" s="264"/>
      <c r="N380" s="264"/>
      <c r="O380" s="264"/>
      <c r="P380" s="277"/>
      <c r="Q380" s="278"/>
    </row>
    <row r="381" spans="1:17" ht="13.95" customHeight="1" x14ac:dyDescent="0.25">
      <c r="A381" s="169"/>
      <c r="B381" s="273"/>
      <c r="C381" s="381" t="s">
        <v>1135</v>
      </c>
      <c r="D381" s="936"/>
      <c r="E381" s="937"/>
      <c r="F381" s="937"/>
      <c r="G381" s="937"/>
      <c r="H381" s="937"/>
      <c r="I381" s="378"/>
      <c r="J381" s="264"/>
      <c r="K381" s="264"/>
      <c r="L381" s="264"/>
      <c r="M381" s="264"/>
      <c r="N381" s="264"/>
      <c r="O381" s="264"/>
      <c r="P381" s="277"/>
      <c r="Q381" s="278"/>
    </row>
    <row r="382" spans="1:17" ht="13.95" customHeight="1" x14ac:dyDescent="0.25">
      <c r="A382" s="169"/>
      <c r="B382" s="273"/>
      <c r="C382" s="381" t="s">
        <v>1136</v>
      </c>
      <c r="D382" s="936"/>
      <c r="E382" s="937"/>
      <c r="F382" s="937"/>
      <c r="G382" s="937"/>
      <c r="H382" s="937"/>
      <c r="I382" s="378"/>
      <c r="J382" s="264"/>
      <c r="K382" s="264"/>
      <c r="L382" s="264"/>
      <c r="M382" s="264"/>
      <c r="N382" s="264"/>
      <c r="O382" s="264"/>
      <c r="P382" s="277"/>
      <c r="Q382" s="278"/>
    </row>
    <row r="383" spans="1:17" ht="13.95" customHeight="1" x14ac:dyDescent="0.25">
      <c r="A383" s="169"/>
      <c r="B383" s="273"/>
      <c r="C383" s="381" t="s">
        <v>1137</v>
      </c>
      <c r="D383" s="936"/>
      <c r="E383" s="937"/>
      <c r="F383" s="937"/>
      <c r="G383" s="937"/>
      <c r="H383" s="937"/>
      <c r="I383" s="378"/>
      <c r="J383" s="264"/>
      <c r="K383" s="264"/>
      <c r="L383" s="264"/>
      <c r="M383" s="264"/>
      <c r="N383" s="264"/>
      <c r="O383" s="264"/>
      <c r="P383" s="277"/>
      <c r="Q383" s="278"/>
    </row>
    <row r="384" spans="1:17" ht="13.95" customHeight="1" x14ac:dyDescent="0.25">
      <c r="A384" s="169"/>
      <c r="B384" s="273"/>
      <c r="C384" s="381" t="s">
        <v>1138</v>
      </c>
      <c r="D384" s="936"/>
      <c r="E384" s="937"/>
      <c r="F384" s="937"/>
      <c r="G384" s="937"/>
      <c r="H384" s="937"/>
      <c r="I384" s="378"/>
      <c r="J384" s="264"/>
      <c r="K384" s="264"/>
      <c r="L384" s="264"/>
      <c r="M384" s="264"/>
      <c r="N384" s="264"/>
      <c r="O384" s="264"/>
      <c r="P384" s="277"/>
      <c r="Q384" s="278"/>
    </row>
    <row r="385" spans="1:17" ht="13.95" customHeight="1" x14ac:dyDescent="0.25">
      <c r="A385" s="169"/>
      <c r="B385" s="273"/>
      <c r="C385" s="381" t="s">
        <v>1139</v>
      </c>
      <c r="D385" s="936"/>
      <c r="E385" s="937"/>
      <c r="F385" s="937"/>
      <c r="G385" s="937"/>
      <c r="H385" s="937"/>
      <c r="I385" s="378"/>
      <c r="J385" s="264"/>
      <c r="K385" s="264"/>
      <c r="L385" s="264"/>
      <c r="M385" s="264"/>
      <c r="N385" s="264"/>
      <c r="O385" s="264"/>
      <c r="P385" s="277"/>
      <c r="Q385" s="278"/>
    </row>
    <row r="386" spans="1:17" ht="13.95" customHeight="1" x14ac:dyDescent="0.25">
      <c r="A386" s="169"/>
      <c r="B386" s="273"/>
      <c r="C386" s="381" t="s">
        <v>1140</v>
      </c>
      <c r="D386" s="936"/>
      <c r="E386" s="937"/>
      <c r="F386" s="937"/>
      <c r="G386" s="937"/>
      <c r="H386" s="937"/>
      <c r="I386" s="378"/>
      <c r="J386" s="264"/>
      <c r="K386" s="264"/>
      <c r="L386" s="264"/>
      <c r="M386" s="264"/>
      <c r="N386" s="264"/>
      <c r="O386" s="264"/>
      <c r="P386" s="277"/>
      <c r="Q386" s="278"/>
    </row>
    <row r="387" spans="1:17" ht="13.95" customHeight="1" x14ac:dyDescent="0.25">
      <c r="A387" s="169"/>
      <c r="B387" s="273"/>
      <c r="C387" s="381" t="s">
        <v>1141</v>
      </c>
      <c r="D387" s="936"/>
      <c r="E387" s="937"/>
      <c r="F387" s="937"/>
      <c r="G387" s="937"/>
      <c r="H387" s="937"/>
      <c r="I387" s="378"/>
      <c r="J387" s="264"/>
      <c r="K387" s="264"/>
      <c r="L387" s="264"/>
      <c r="M387" s="264"/>
      <c r="N387" s="264"/>
      <c r="O387" s="264"/>
      <c r="P387" s="277"/>
      <c r="Q387" s="278"/>
    </row>
    <row r="388" spans="1:17" ht="13.95" customHeight="1" x14ac:dyDescent="0.25">
      <c r="A388" s="169"/>
      <c r="B388" s="273"/>
      <c r="C388" s="381" t="s">
        <v>1142</v>
      </c>
      <c r="D388" s="936"/>
      <c r="E388" s="937"/>
      <c r="F388" s="937"/>
      <c r="G388" s="937"/>
      <c r="H388" s="937"/>
      <c r="I388" s="378"/>
      <c r="J388" s="264"/>
      <c r="K388" s="264"/>
      <c r="L388" s="264"/>
      <c r="M388" s="264"/>
      <c r="N388" s="264"/>
      <c r="O388" s="264"/>
      <c r="P388" s="277"/>
      <c r="Q388" s="278"/>
    </row>
    <row r="389" spans="1:17" ht="13.95" customHeight="1" x14ac:dyDescent="0.25">
      <c r="A389" s="169"/>
      <c r="B389" s="273"/>
      <c r="C389" s="381" t="s">
        <v>1143</v>
      </c>
      <c r="D389" s="936"/>
      <c r="E389" s="937"/>
      <c r="F389" s="937"/>
      <c r="G389" s="937"/>
      <c r="H389" s="937"/>
      <c r="I389" s="378"/>
      <c r="J389" s="264"/>
      <c r="K389" s="264"/>
      <c r="L389" s="264"/>
      <c r="M389" s="264"/>
      <c r="N389" s="264"/>
      <c r="O389" s="264"/>
      <c r="P389" s="277"/>
      <c r="Q389" s="278"/>
    </row>
    <row r="390" spans="1:17" ht="13.95" customHeight="1" x14ac:dyDescent="0.25">
      <c r="A390" s="169"/>
      <c r="B390" s="273"/>
      <c r="C390" s="381" t="s">
        <v>1144</v>
      </c>
      <c r="D390" s="936"/>
      <c r="E390" s="937"/>
      <c r="F390" s="937"/>
      <c r="G390" s="937"/>
      <c r="H390" s="937"/>
      <c r="I390" s="378"/>
      <c r="J390" s="264"/>
      <c r="K390" s="264"/>
      <c r="L390" s="264"/>
      <c r="M390" s="264"/>
      <c r="N390" s="264"/>
      <c r="O390" s="264"/>
      <c r="P390" s="277"/>
      <c r="Q390" s="278"/>
    </row>
    <row r="391" spans="1:17" ht="13.95" customHeight="1" x14ac:dyDescent="0.25">
      <c r="A391" s="169"/>
      <c r="B391" s="273"/>
      <c r="C391" s="381" t="s">
        <v>183</v>
      </c>
      <c r="D391" s="936"/>
      <c r="E391" s="937"/>
      <c r="F391" s="937"/>
      <c r="G391" s="937"/>
      <c r="H391" s="937"/>
      <c r="I391" s="378"/>
      <c r="J391" s="264"/>
      <c r="K391" s="264"/>
      <c r="L391" s="264"/>
      <c r="M391" s="264"/>
      <c r="N391" s="264"/>
      <c r="O391" s="264"/>
      <c r="P391" s="277"/>
      <c r="Q391" s="278"/>
    </row>
    <row r="392" spans="1:17" ht="13.95" customHeight="1" x14ac:dyDescent="0.25">
      <c r="A392" s="169"/>
      <c r="B392" s="273"/>
      <c r="C392" s="381" t="s">
        <v>184</v>
      </c>
      <c r="D392" s="936"/>
      <c r="E392" s="937"/>
      <c r="F392" s="937"/>
      <c r="G392" s="937"/>
      <c r="H392" s="937"/>
      <c r="I392" s="378"/>
      <c r="J392" s="264"/>
      <c r="K392" s="264"/>
      <c r="L392" s="264"/>
      <c r="M392" s="264"/>
      <c r="N392" s="264"/>
      <c r="O392" s="264"/>
      <c r="P392" s="277"/>
      <c r="Q392" s="278"/>
    </row>
    <row r="393" spans="1:17" ht="13.95" customHeight="1" x14ac:dyDescent="0.25">
      <c r="A393" s="169"/>
      <c r="B393" s="273"/>
      <c r="C393" s="381" t="s">
        <v>185</v>
      </c>
      <c r="D393" s="936"/>
      <c r="E393" s="937"/>
      <c r="F393" s="937"/>
      <c r="G393" s="937"/>
      <c r="H393" s="937"/>
      <c r="I393" s="378"/>
      <c r="J393" s="264"/>
      <c r="K393" s="264"/>
      <c r="L393" s="264"/>
      <c r="M393" s="264"/>
      <c r="N393" s="264"/>
      <c r="O393" s="264"/>
      <c r="P393" s="277"/>
      <c r="Q393" s="278"/>
    </row>
    <row r="394" spans="1:17" ht="13.95" customHeight="1" x14ac:dyDescent="0.25">
      <c r="A394" s="169"/>
      <c r="B394" s="273"/>
      <c r="C394" s="381" t="s">
        <v>186</v>
      </c>
      <c r="D394" s="936"/>
      <c r="E394" s="937"/>
      <c r="F394" s="937"/>
      <c r="G394" s="937"/>
      <c r="H394" s="937"/>
      <c r="I394" s="378"/>
      <c r="J394" s="264"/>
      <c r="K394" s="264"/>
      <c r="L394" s="264"/>
      <c r="M394" s="264"/>
      <c r="N394" s="264"/>
      <c r="O394" s="264"/>
      <c r="P394" s="277"/>
      <c r="Q394" s="278"/>
    </row>
    <row r="395" spans="1:17" ht="13.95" customHeight="1" x14ac:dyDescent="0.25">
      <c r="A395" s="169"/>
      <c r="B395" s="273"/>
      <c r="C395" s="381" t="s">
        <v>187</v>
      </c>
      <c r="D395" s="936"/>
      <c r="E395" s="937"/>
      <c r="F395" s="937"/>
      <c r="G395" s="937"/>
      <c r="H395" s="937"/>
      <c r="I395" s="378"/>
      <c r="J395" s="264"/>
      <c r="K395" s="264"/>
      <c r="L395" s="264"/>
      <c r="M395" s="264"/>
      <c r="N395" s="264"/>
      <c r="O395" s="264"/>
      <c r="P395" s="277"/>
      <c r="Q395" s="278"/>
    </row>
    <row r="396" spans="1:17" ht="13.95" customHeight="1" x14ac:dyDescent="0.25">
      <c r="A396" s="169"/>
      <c r="B396" s="273"/>
      <c r="C396" s="381" t="s">
        <v>188</v>
      </c>
      <c r="D396" s="936"/>
      <c r="E396" s="937"/>
      <c r="F396" s="937"/>
      <c r="G396" s="937"/>
      <c r="H396" s="937"/>
      <c r="I396" s="378"/>
      <c r="J396" s="264"/>
      <c r="K396" s="264"/>
      <c r="L396" s="264"/>
      <c r="M396" s="264"/>
      <c r="N396" s="264"/>
      <c r="O396" s="264"/>
      <c r="P396" s="277"/>
      <c r="Q396" s="278"/>
    </row>
    <row r="397" spans="1:17" ht="13.95" customHeight="1" x14ac:dyDescent="0.25">
      <c r="A397" s="169"/>
      <c r="B397" s="273"/>
      <c r="C397" s="381" t="s">
        <v>189</v>
      </c>
      <c r="D397" s="936"/>
      <c r="E397" s="937"/>
      <c r="F397" s="937"/>
      <c r="G397" s="937"/>
      <c r="H397" s="937"/>
      <c r="I397" s="378"/>
      <c r="J397" s="264"/>
      <c r="K397" s="264"/>
      <c r="L397" s="264"/>
      <c r="M397" s="264"/>
      <c r="N397" s="264"/>
      <c r="O397" s="264"/>
      <c r="P397" s="277"/>
      <c r="Q397" s="278"/>
    </row>
    <row r="398" spans="1:17" ht="13.95" customHeight="1" x14ac:dyDescent="0.25">
      <c r="A398" s="169"/>
      <c r="B398" s="273"/>
      <c r="C398" s="381" t="s">
        <v>190</v>
      </c>
      <c r="D398" s="936"/>
      <c r="E398" s="937"/>
      <c r="F398" s="937"/>
      <c r="G398" s="937"/>
      <c r="H398" s="937"/>
      <c r="I398" s="378"/>
      <c r="J398" s="264"/>
      <c r="K398" s="264"/>
      <c r="L398" s="264"/>
      <c r="M398" s="264"/>
      <c r="N398" s="264"/>
      <c r="O398" s="264"/>
      <c r="P398" s="277"/>
      <c r="Q398" s="278"/>
    </row>
    <row r="399" spans="1:17" ht="13.95" customHeight="1" x14ac:dyDescent="0.25">
      <c r="A399" s="169"/>
      <c r="B399" s="273"/>
      <c r="C399" s="381" t="s">
        <v>191</v>
      </c>
      <c r="D399" s="936"/>
      <c r="E399" s="937"/>
      <c r="F399" s="937"/>
      <c r="G399" s="937"/>
      <c r="H399" s="937"/>
      <c r="I399" s="378"/>
      <c r="J399" s="264"/>
      <c r="K399" s="264"/>
      <c r="L399" s="264"/>
      <c r="M399" s="264"/>
      <c r="N399" s="264"/>
      <c r="O399" s="264"/>
      <c r="P399" s="277"/>
      <c r="Q399" s="278"/>
    </row>
    <row r="400" spans="1:17" ht="13.95" customHeight="1" x14ac:dyDescent="0.25">
      <c r="A400" s="169"/>
      <c r="B400" s="273"/>
      <c r="C400" s="381" t="s">
        <v>192</v>
      </c>
      <c r="D400" s="936"/>
      <c r="E400" s="937"/>
      <c r="F400" s="937"/>
      <c r="G400" s="937"/>
      <c r="H400" s="937"/>
      <c r="I400" s="378"/>
      <c r="J400" s="264"/>
      <c r="K400" s="264"/>
      <c r="L400" s="264"/>
      <c r="M400" s="264"/>
      <c r="N400" s="264"/>
      <c r="O400" s="264"/>
      <c r="P400" s="277"/>
      <c r="Q400" s="278"/>
    </row>
    <row r="401" spans="1:17" ht="13.95" customHeight="1" x14ac:dyDescent="0.25">
      <c r="A401" s="169"/>
      <c r="B401" s="273"/>
      <c r="C401" s="381" t="s">
        <v>193</v>
      </c>
      <c r="D401" s="936"/>
      <c r="E401" s="937"/>
      <c r="F401" s="937"/>
      <c r="G401" s="937"/>
      <c r="H401" s="937"/>
      <c r="I401" s="378"/>
      <c r="J401" s="264"/>
      <c r="K401" s="264"/>
      <c r="L401" s="264"/>
      <c r="M401" s="264"/>
      <c r="N401" s="264"/>
      <c r="O401" s="264"/>
      <c r="P401" s="277"/>
      <c r="Q401" s="278"/>
    </row>
    <row r="402" spans="1:17" ht="13.95" customHeight="1" x14ac:dyDescent="0.25">
      <c r="A402" s="169"/>
      <c r="B402" s="273"/>
      <c r="C402" s="381" t="s">
        <v>195</v>
      </c>
      <c r="D402" s="936"/>
      <c r="E402" s="937"/>
      <c r="F402" s="937"/>
      <c r="G402" s="937"/>
      <c r="H402" s="937"/>
      <c r="I402" s="378"/>
      <c r="J402" s="264"/>
      <c r="K402" s="264"/>
      <c r="L402" s="264"/>
      <c r="M402" s="264"/>
      <c r="N402" s="264"/>
      <c r="O402" s="264"/>
      <c r="P402" s="277"/>
      <c r="Q402" s="278"/>
    </row>
    <row r="403" spans="1:17" ht="13.95" customHeight="1" x14ac:dyDescent="0.25">
      <c r="A403" s="169"/>
      <c r="B403" s="273"/>
      <c r="C403" s="381" t="s">
        <v>197</v>
      </c>
      <c r="D403" s="936"/>
      <c r="E403" s="937"/>
      <c r="F403" s="937"/>
      <c r="G403" s="937"/>
      <c r="H403" s="937"/>
      <c r="I403" s="378"/>
      <c r="J403" s="264"/>
      <c r="K403" s="264"/>
      <c r="L403" s="264"/>
      <c r="M403" s="264"/>
      <c r="N403" s="264"/>
      <c r="O403" s="264"/>
      <c r="P403" s="277"/>
      <c r="Q403" s="278"/>
    </row>
    <row r="404" spans="1:17" ht="13.95" customHeight="1" x14ac:dyDescent="0.25">
      <c r="A404" s="169"/>
      <c r="B404" s="273"/>
      <c r="C404" s="381" t="s">
        <v>198</v>
      </c>
      <c r="D404" s="936"/>
      <c r="E404" s="937"/>
      <c r="F404" s="937"/>
      <c r="G404" s="937"/>
      <c r="H404" s="937"/>
      <c r="I404" s="378"/>
      <c r="J404" s="264"/>
      <c r="K404" s="264"/>
      <c r="L404" s="264"/>
      <c r="M404" s="264"/>
      <c r="N404" s="264"/>
      <c r="O404" s="264"/>
      <c r="P404" s="277"/>
      <c r="Q404" s="278"/>
    </row>
    <row r="405" spans="1:17" ht="13.95" customHeight="1" x14ac:dyDescent="0.25">
      <c r="A405" s="169"/>
      <c r="B405" s="273"/>
      <c r="C405" s="381" t="s">
        <v>199</v>
      </c>
      <c r="D405" s="936"/>
      <c r="E405" s="937"/>
      <c r="F405" s="937"/>
      <c r="G405" s="937"/>
      <c r="H405" s="937"/>
      <c r="I405" s="378"/>
      <c r="J405" s="264"/>
      <c r="K405" s="264"/>
      <c r="L405" s="264"/>
      <c r="M405" s="264"/>
      <c r="N405" s="264"/>
      <c r="O405" s="264"/>
      <c r="P405" s="277"/>
      <c r="Q405" s="278"/>
    </row>
    <row r="406" spans="1:17" ht="13.95" customHeight="1" x14ac:dyDescent="0.25">
      <c r="A406" s="169"/>
      <c r="B406" s="273"/>
      <c r="C406" s="381" t="s">
        <v>200</v>
      </c>
      <c r="D406" s="936"/>
      <c r="E406" s="937"/>
      <c r="F406" s="937"/>
      <c r="G406" s="937"/>
      <c r="H406" s="937"/>
      <c r="I406" s="378"/>
      <c r="J406" s="264"/>
      <c r="K406" s="264"/>
      <c r="L406" s="264"/>
      <c r="M406" s="264"/>
      <c r="N406" s="264"/>
      <c r="O406" s="264"/>
      <c r="P406" s="277"/>
      <c r="Q406" s="278"/>
    </row>
    <row r="407" spans="1:17" ht="13.95" customHeight="1" x14ac:dyDescent="0.25">
      <c r="A407" s="169"/>
      <c r="B407" s="273"/>
      <c r="C407" s="381" t="s">
        <v>201</v>
      </c>
      <c r="D407" s="936"/>
      <c r="E407" s="937"/>
      <c r="F407" s="937"/>
      <c r="G407" s="937"/>
      <c r="H407" s="937"/>
      <c r="I407" s="378"/>
      <c r="J407" s="264"/>
      <c r="K407" s="264"/>
      <c r="L407" s="264"/>
      <c r="M407" s="264"/>
      <c r="N407" s="264"/>
      <c r="O407" s="264"/>
      <c r="P407" s="277"/>
      <c r="Q407" s="278"/>
    </row>
    <row r="408" spans="1:17" ht="13.95" customHeight="1" x14ac:dyDescent="0.25">
      <c r="A408" s="169"/>
      <c r="B408" s="273"/>
      <c r="C408" s="381" t="s">
        <v>202</v>
      </c>
      <c r="D408" s="936"/>
      <c r="E408" s="937"/>
      <c r="F408" s="937"/>
      <c r="G408" s="937"/>
      <c r="H408" s="937"/>
      <c r="I408" s="378"/>
      <c r="J408" s="264"/>
      <c r="K408" s="264"/>
      <c r="L408" s="264"/>
      <c r="M408" s="264"/>
      <c r="N408" s="264"/>
      <c r="O408" s="264"/>
      <c r="P408" s="277"/>
      <c r="Q408" s="278"/>
    </row>
    <row r="409" spans="1:17" ht="13.95" customHeight="1" x14ac:dyDescent="0.25">
      <c r="A409" s="169"/>
      <c r="B409" s="273"/>
      <c r="C409" s="381" t="s">
        <v>203</v>
      </c>
      <c r="D409" s="936"/>
      <c r="E409" s="937"/>
      <c r="F409" s="937"/>
      <c r="G409" s="937"/>
      <c r="H409" s="937"/>
      <c r="I409" s="378"/>
      <c r="J409" s="264"/>
      <c r="K409" s="264"/>
      <c r="L409" s="264"/>
      <c r="M409" s="264"/>
      <c r="N409" s="264"/>
      <c r="O409" s="264"/>
      <c r="P409" s="277"/>
      <c r="Q409" s="278"/>
    </row>
    <row r="410" spans="1:17" ht="13.95" customHeight="1" x14ac:dyDescent="0.25">
      <c r="A410" s="169"/>
      <c r="B410" s="273"/>
      <c r="C410" s="381" t="s">
        <v>204</v>
      </c>
      <c r="D410" s="936"/>
      <c r="E410" s="937"/>
      <c r="F410" s="937"/>
      <c r="G410" s="937"/>
      <c r="H410" s="937"/>
      <c r="I410" s="378"/>
      <c r="J410" s="264"/>
      <c r="K410" s="264"/>
      <c r="L410" s="264"/>
      <c r="M410" s="264"/>
      <c r="N410" s="264"/>
      <c r="O410" s="264"/>
      <c r="P410" s="277"/>
      <c r="Q410" s="278"/>
    </row>
    <row r="411" spans="1:17" ht="13.95" customHeight="1" x14ac:dyDescent="0.25">
      <c r="A411" s="169"/>
      <c r="B411" s="273"/>
      <c r="C411" s="381" t="s">
        <v>205</v>
      </c>
      <c r="D411" s="936"/>
      <c r="E411" s="937"/>
      <c r="F411" s="937"/>
      <c r="G411" s="937"/>
      <c r="H411" s="937"/>
      <c r="I411" s="378"/>
      <c r="J411" s="264"/>
      <c r="K411" s="264"/>
      <c r="L411" s="264"/>
      <c r="M411" s="264"/>
      <c r="N411" s="264"/>
      <c r="O411" s="264"/>
      <c r="P411" s="277"/>
      <c r="Q411" s="278"/>
    </row>
    <row r="412" spans="1:17" ht="13.95" customHeight="1" x14ac:dyDescent="0.25">
      <c r="A412" s="169"/>
      <c r="B412" s="273"/>
      <c r="C412" s="381" t="s">
        <v>207</v>
      </c>
      <c r="D412" s="936"/>
      <c r="E412" s="937"/>
      <c r="F412" s="937"/>
      <c r="G412" s="937"/>
      <c r="H412" s="937"/>
      <c r="I412" s="378"/>
      <c r="J412" s="264"/>
      <c r="K412" s="264"/>
      <c r="L412" s="264"/>
      <c r="M412" s="264"/>
      <c r="N412" s="264"/>
      <c r="O412" s="264"/>
      <c r="P412" s="277"/>
      <c r="Q412" s="278"/>
    </row>
    <row r="413" spans="1:17" ht="13.95" customHeight="1" x14ac:dyDescent="0.25">
      <c r="A413" s="169"/>
      <c r="B413" s="273"/>
      <c r="C413" s="381" t="s">
        <v>209</v>
      </c>
      <c r="D413" s="936"/>
      <c r="E413" s="937"/>
      <c r="F413" s="937"/>
      <c r="G413" s="937"/>
      <c r="H413" s="937"/>
      <c r="I413" s="378"/>
      <c r="J413" s="264"/>
      <c r="K413" s="264"/>
      <c r="L413" s="264"/>
      <c r="M413" s="264"/>
      <c r="N413" s="264"/>
      <c r="O413" s="264"/>
      <c r="P413" s="277"/>
      <c r="Q413" s="278"/>
    </row>
    <row r="414" spans="1:17" ht="13.95" customHeight="1" x14ac:dyDescent="0.25">
      <c r="A414" s="169"/>
      <c r="B414" s="273"/>
      <c r="C414" s="381" t="s">
        <v>215</v>
      </c>
      <c r="D414" s="936"/>
      <c r="E414" s="937"/>
      <c r="F414" s="937"/>
      <c r="G414" s="937"/>
      <c r="H414" s="937"/>
      <c r="I414" s="378"/>
      <c r="J414" s="264"/>
      <c r="K414" s="264"/>
      <c r="L414" s="264"/>
      <c r="M414" s="264"/>
      <c r="N414" s="264"/>
      <c r="O414" s="264"/>
      <c r="P414" s="277"/>
      <c r="Q414" s="278"/>
    </row>
    <row r="415" spans="1:17" ht="13.95" customHeight="1" x14ac:dyDescent="0.25">
      <c r="A415" s="169"/>
      <c r="B415" s="273"/>
      <c r="C415" s="381" t="s">
        <v>216</v>
      </c>
      <c r="D415" s="936"/>
      <c r="E415" s="937"/>
      <c r="F415" s="937"/>
      <c r="G415" s="937"/>
      <c r="H415" s="937"/>
      <c r="I415" s="378"/>
      <c r="J415" s="264"/>
      <c r="K415" s="264"/>
      <c r="L415" s="264"/>
      <c r="M415" s="264"/>
      <c r="N415" s="264"/>
      <c r="O415" s="264"/>
      <c r="P415" s="277"/>
      <c r="Q415" s="278"/>
    </row>
    <row r="416" spans="1:17" ht="13.95" customHeight="1" x14ac:dyDescent="0.25">
      <c r="A416" s="169"/>
      <c r="B416" s="273"/>
      <c r="C416" s="381" t="s">
        <v>217</v>
      </c>
      <c r="D416" s="936"/>
      <c r="E416" s="937"/>
      <c r="F416" s="937"/>
      <c r="G416" s="937"/>
      <c r="H416" s="937"/>
      <c r="I416" s="378"/>
      <c r="J416" s="264"/>
      <c r="K416" s="264"/>
      <c r="L416" s="264"/>
      <c r="M416" s="264"/>
      <c r="N416" s="264"/>
      <c r="O416" s="264"/>
      <c r="P416" s="277"/>
      <c r="Q416" s="278"/>
    </row>
    <row r="417" spans="1:17" ht="13.95" customHeight="1" x14ac:dyDescent="0.25">
      <c r="A417" s="169"/>
      <c r="B417" s="273"/>
      <c r="C417" s="381" t="s">
        <v>218</v>
      </c>
      <c r="D417" s="936"/>
      <c r="E417" s="937"/>
      <c r="F417" s="937"/>
      <c r="G417" s="937"/>
      <c r="H417" s="937"/>
      <c r="I417" s="378"/>
      <c r="J417" s="264"/>
      <c r="K417" s="264"/>
      <c r="L417" s="264"/>
      <c r="M417" s="264"/>
      <c r="N417" s="264"/>
      <c r="O417" s="264"/>
      <c r="P417" s="277"/>
      <c r="Q417" s="278"/>
    </row>
    <row r="418" spans="1:17" ht="13.95" customHeight="1" x14ac:dyDescent="0.25">
      <c r="A418" s="169"/>
      <c r="B418" s="273"/>
      <c r="C418" s="381" t="s">
        <v>219</v>
      </c>
      <c r="D418" s="936"/>
      <c r="E418" s="937"/>
      <c r="F418" s="937"/>
      <c r="G418" s="937"/>
      <c r="H418" s="937"/>
      <c r="I418" s="378"/>
      <c r="J418" s="264"/>
      <c r="K418" s="264"/>
      <c r="L418" s="264"/>
      <c r="M418" s="264"/>
      <c r="N418" s="264"/>
      <c r="O418" s="264"/>
      <c r="P418" s="277"/>
      <c r="Q418" s="278"/>
    </row>
    <row r="419" spans="1:17" ht="13.95" customHeight="1" x14ac:dyDescent="0.25">
      <c r="A419" s="169"/>
      <c r="B419" s="273"/>
      <c r="C419" s="381" t="s">
        <v>220</v>
      </c>
      <c r="D419" s="936"/>
      <c r="E419" s="937"/>
      <c r="F419" s="937"/>
      <c r="G419" s="937"/>
      <c r="H419" s="937"/>
      <c r="I419" s="378"/>
      <c r="J419" s="264"/>
      <c r="K419" s="264"/>
      <c r="L419" s="264"/>
      <c r="M419" s="264"/>
      <c r="N419" s="264"/>
      <c r="O419" s="264"/>
      <c r="P419" s="277"/>
      <c r="Q419" s="278"/>
    </row>
    <row r="420" spans="1:17" ht="13.95" customHeight="1" x14ac:dyDescent="0.25">
      <c r="A420" s="169"/>
      <c r="B420" s="273"/>
      <c r="C420" s="381" t="s">
        <v>315</v>
      </c>
      <c r="D420" s="936"/>
      <c r="E420" s="937"/>
      <c r="F420" s="937"/>
      <c r="G420" s="937"/>
      <c r="H420" s="937"/>
      <c r="I420" s="378"/>
      <c r="J420" s="264"/>
      <c r="K420" s="264"/>
      <c r="L420" s="264"/>
      <c r="M420" s="264"/>
      <c r="N420" s="264"/>
      <c r="O420" s="264"/>
      <c r="P420" s="277"/>
      <c r="Q420" s="278"/>
    </row>
    <row r="421" spans="1:17" ht="13.95" customHeight="1" x14ac:dyDescent="0.25">
      <c r="A421" s="169"/>
      <c r="B421" s="273"/>
      <c r="C421" s="381" t="s">
        <v>316</v>
      </c>
      <c r="D421" s="936"/>
      <c r="E421" s="937"/>
      <c r="F421" s="937"/>
      <c r="G421" s="937"/>
      <c r="H421" s="937"/>
      <c r="I421" s="378"/>
      <c r="J421" s="264"/>
      <c r="K421" s="264"/>
      <c r="L421" s="264"/>
      <c r="M421" s="264"/>
      <c r="N421" s="264"/>
      <c r="O421" s="264"/>
      <c r="P421" s="277"/>
      <c r="Q421" s="278"/>
    </row>
    <row r="422" spans="1:17" ht="13.95" customHeight="1" x14ac:dyDescent="0.25">
      <c r="A422" s="169"/>
      <c r="B422" s="273"/>
      <c r="C422" s="381" t="s">
        <v>317</v>
      </c>
      <c r="D422" s="936"/>
      <c r="E422" s="937"/>
      <c r="F422" s="937"/>
      <c r="G422" s="937"/>
      <c r="H422" s="937"/>
      <c r="I422" s="378"/>
      <c r="J422" s="264"/>
      <c r="K422" s="264"/>
      <c r="L422" s="264"/>
      <c r="M422" s="264"/>
      <c r="N422" s="264"/>
      <c r="O422" s="264"/>
      <c r="P422" s="277"/>
      <c r="Q422" s="278"/>
    </row>
    <row r="423" spans="1:17" ht="13.95" customHeight="1" x14ac:dyDescent="0.25">
      <c r="A423" s="169"/>
      <c r="B423" s="273"/>
      <c r="C423" s="381" t="s">
        <v>318</v>
      </c>
      <c r="D423" s="936"/>
      <c r="E423" s="937"/>
      <c r="F423" s="937"/>
      <c r="G423" s="937"/>
      <c r="H423" s="937"/>
      <c r="I423" s="378"/>
      <c r="J423" s="264"/>
      <c r="K423" s="264"/>
      <c r="L423" s="264"/>
      <c r="M423" s="264"/>
      <c r="N423" s="264"/>
      <c r="O423" s="264"/>
      <c r="P423" s="277"/>
      <c r="Q423" s="278"/>
    </row>
    <row r="424" spans="1:17" ht="13.95" customHeight="1" x14ac:dyDescent="0.25">
      <c r="A424" s="169"/>
      <c r="B424" s="273"/>
      <c r="C424" s="381" t="s">
        <v>319</v>
      </c>
      <c r="D424" s="936"/>
      <c r="E424" s="937"/>
      <c r="F424" s="937"/>
      <c r="G424" s="937"/>
      <c r="H424" s="937"/>
      <c r="I424" s="378"/>
      <c r="J424" s="264"/>
      <c r="K424" s="264"/>
      <c r="L424" s="264"/>
      <c r="M424" s="264"/>
      <c r="N424" s="264"/>
      <c r="O424" s="264"/>
      <c r="P424" s="277"/>
      <c r="Q424" s="278"/>
    </row>
    <row r="425" spans="1:17" ht="13.95" customHeight="1" x14ac:dyDescent="0.25">
      <c r="A425" s="169"/>
      <c r="B425" s="273"/>
      <c r="C425" s="381" t="s">
        <v>320</v>
      </c>
      <c r="D425" s="936"/>
      <c r="E425" s="937"/>
      <c r="F425" s="937"/>
      <c r="G425" s="937"/>
      <c r="H425" s="937"/>
      <c r="I425" s="378"/>
      <c r="J425" s="264"/>
      <c r="K425" s="264"/>
      <c r="L425" s="264"/>
      <c r="M425" s="264"/>
      <c r="N425" s="264"/>
      <c r="O425" s="264"/>
      <c r="P425" s="277"/>
      <c r="Q425" s="278"/>
    </row>
    <row r="426" spans="1:17" ht="13.95" customHeight="1" x14ac:dyDescent="0.25">
      <c r="A426" s="169"/>
      <c r="B426" s="273"/>
      <c r="C426" s="381" t="s">
        <v>321</v>
      </c>
      <c r="D426" s="936"/>
      <c r="E426" s="937"/>
      <c r="F426" s="937"/>
      <c r="G426" s="937"/>
      <c r="H426" s="937"/>
      <c r="I426" s="378"/>
      <c r="J426" s="264"/>
      <c r="K426" s="264"/>
      <c r="L426" s="264"/>
      <c r="M426" s="264"/>
      <c r="N426" s="264"/>
      <c r="O426" s="264"/>
      <c r="P426" s="277"/>
      <c r="Q426" s="278"/>
    </row>
    <row r="427" spans="1:17" ht="13.95" customHeight="1" x14ac:dyDescent="0.25">
      <c r="A427" s="169"/>
      <c r="B427" s="273"/>
      <c r="C427" s="381" t="s">
        <v>322</v>
      </c>
      <c r="D427" s="936"/>
      <c r="E427" s="937"/>
      <c r="F427" s="937"/>
      <c r="G427" s="937"/>
      <c r="H427" s="937"/>
      <c r="I427" s="378"/>
      <c r="J427" s="264"/>
      <c r="K427" s="264"/>
      <c r="L427" s="264"/>
      <c r="M427" s="264"/>
      <c r="N427" s="264"/>
      <c r="O427" s="264"/>
      <c r="P427" s="277"/>
      <c r="Q427" s="278"/>
    </row>
    <row r="428" spans="1:17" ht="13.95" customHeight="1" x14ac:dyDescent="0.25">
      <c r="A428" s="169"/>
      <c r="B428" s="273"/>
      <c r="C428" s="381" t="s">
        <v>323</v>
      </c>
      <c r="D428" s="936"/>
      <c r="E428" s="937"/>
      <c r="F428" s="937"/>
      <c r="G428" s="937"/>
      <c r="H428" s="937"/>
      <c r="I428" s="378"/>
      <c r="J428" s="264"/>
      <c r="K428" s="264"/>
      <c r="L428" s="264"/>
      <c r="M428" s="264"/>
      <c r="N428" s="264"/>
      <c r="O428" s="264"/>
      <c r="P428" s="277"/>
      <c r="Q428" s="278"/>
    </row>
    <row r="429" spans="1:17" ht="13.95" customHeight="1" x14ac:dyDescent="0.25">
      <c r="A429" s="169"/>
      <c r="B429" s="273"/>
      <c r="C429" s="381" t="s">
        <v>324</v>
      </c>
      <c r="D429" s="936"/>
      <c r="E429" s="937"/>
      <c r="F429" s="937"/>
      <c r="G429" s="937"/>
      <c r="H429" s="937"/>
      <c r="I429" s="378"/>
      <c r="J429" s="264"/>
      <c r="K429" s="264"/>
      <c r="L429" s="264"/>
      <c r="M429" s="264"/>
      <c r="N429" s="264"/>
      <c r="O429" s="264"/>
      <c r="P429" s="277"/>
      <c r="Q429" s="278"/>
    </row>
    <row r="430" spans="1:17" ht="13.95" customHeight="1" x14ac:dyDescent="0.25">
      <c r="A430" s="169"/>
      <c r="B430" s="273"/>
      <c r="C430" s="381" t="s">
        <v>325</v>
      </c>
      <c r="D430" s="936"/>
      <c r="E430" s="937"/>
      <c r="F430" s="937"/>
      <c r="G430" s="937"/>
      <c r="H430" s="937"/>
      <c r="I430" s="378"/>
      <c r="J430" s="264"/>
      <c r="K430" s="264"/>
      <c r="L430" s="264"/>
      <c r="M430" s="264"/>
      <c r="N430" s="264"/>
      <c r="O430" s="264"/>
      <c r="P430" s="277"/>
      <c r="Q430" s="278"/>
    </row>
    <row r="431" spans="1:17" ht="13.95" customHeight="1" x14ac:dyDescent="0.25">
      <c r="A431" s="169"/>
      <c r="B431" s="273"/>
      <c r="C431" s="381" t="s">
        <v>326</v>
      </c>
      <c r="D431" s="936"/>
      <c r="E431" s="937"/>
      <c r="F431" s="937"/>
      <c r="G431" s="937"/>
      <c r="H431" s="937"/>
      <c r="I431" s="378"/>
      <c r="J431" s="264"/>
      <c r="K431" s="264"/>
      <c r="L431" s="264"/>
      <c r="M431" s="264"/>
      <c r="N431" s="264"/>
      <c r="O431" s="264"/>
      <c r="P431" s="277"/>
      <c r="Q431" s="278"/>
    </row>
    <row r="432" spans="1:17" ht="13.95" customHeight="1" x14ac:dyDescent="0.25">
      <c r="A432" s="169"/>
      <c r="B432" s="273"/>
      <c r="C432" s="381" t="s">
        <v>327</v>
      </c>
      <c r="D432" s="936"/>
      <c r="E432" s="937"/>
      <c r="F432" s="937"/>
      <c r="G432" s="937"/>
      <c r="H432" s="937"/>
      <c r="I432" s="378"/>
      <c r="J432" s="264"/>
      <c r="K432" s="264"/>
      <c r="L432" s="264"/>
      <c r="M432" s="264"/>
      <c r="N432" s="264"/>
      <c r="O432" s="264"/>
      <c r="P432" s="277"/>
      <c r="Q432" s="278"/>
    </row>
    <row r="433" spans="1:17" ht="13.95" customHeight="1" x14ac:dyDescent="0.25">
      <c r="A433" s="169"/>
      <c r="B433" s="273"/>
      <c r="C433" s="381" t="s">
        <v>328</v>
      </c>
      <c r="D433" s="936"/>
      <c r="E433" s="937"/>
      <c r="F433" s="937"/>
      <c r="G433" s="937"/>
      <c r="H433" s="937"/>
      <c r="I433" s="378"/>
      <c r="J433" s="264"/>
      <c r="K433" s="264"/>
      <c r="L433" s="264"/>
      <c r="M433" s="264"/>
      <c r="N433" s="264"/>
      <c r="O433" s="264"/>
      <c r="P433" s="277"/>
      <c r="Q433" s="278"/>
    </row>
    <row r="434" spans="1:17" ht="13.95" customHeight="1" x14ac:dyDescent="0.25">
      <c r="A434" s="169"/>
      <c r="B434" s="273"/>
      <c r="C434" s="381" t="s">
        <v>329</v>
      </c>
      <c r="D434" s="936"/>
      <c r="E434" s="937"/>
      <c r="F434" s="937"/>
      <c r="G434" s="937"/>
      <c r="H434" s="937"/>
      <c r="I434" s="378"/>
      <c r="J434" s="264"/>
      <c r="K434" s="264"/>
      <c r="L434" s="264"/>
      <c r="M434" s="264"/>
      <c r="N434" s="264"/>
      <c r="O434" s="264"/>
      <c r="P434" s="277"/>
      <c r="Q434" s="278"/>
    </row>
    <row r="435" spans="1:17" ht="13.95" customHeight="1" x14ac:dyDescent="0.25">
      <c r="A435" s="169"/>
      <c r="B435" s="273"/>
      <c r="C435" s="381" t="s">
        <v>330</v>
      </c>
      <c r="D435" s="936"/>
      <c r="E435" s="937"/>
      <c r="F435" s="937"/>
      <c r="G435" s="937"/>
      <c r="H435" s="937"/>
      <c r="I435" s="378"/>
      <c r="J435" s="264"/>
      <c r="K435" s="264"/>
      <c r="L435" s="264"/>
      <c r="M435" s="264"/>
      <c r="N435" s="264"/>
      <c r="O435" s="264"/>
      <c r="P435" s="277"/>
      <c r="Q435" s="278"/>
    </row>
    <row r="436" spans="1:17" ht="13.95" customHeight="1" x14ac:dyDescent="0.25">
      <c r="A436" s="169"/>
      <c r="B436" s="273"/>
      <c r="C436" s="381" t="s">
        <v>331</v>
      </c>
      <c r="D436" s="936"/>
      <c r="E436" s="937"/>
      <c r="F436" s="937"/>
      <c r="G436" s="937"/>
      <c r="H436" s="937"/>
      <c r="I436" s="378"/>
      <c r="J436" s="264"/>
      <c r="K436" s="264"/>
      <c r="L436" s="264"/>
      <c r="M436" s="264"/>
      <c r="N436" s="264"/>
      <c r="O436" s="264"/>
      <c r="P436" s="277"/>
      <c r="Q436" s="278"/>
    </row>
    <row r="437" spans="1:17" ht="13.95" customHeight="1" x14ac:dyDescent="0.25">
      <c r="A437" s="169"/>
      <c r="B437" s="273"/>
      <c r="C437" s="381" t="s">
        <v>332</v>
      </c>
      <c r="D437" s="936"/>
      <c r="E437" s="937"/>
      <c r="F437" s="937"/>
      <c r="G437" s="937"/>
      <c r="H437" s="937"/>
      <c r="I437" s="378"/>
      <c r="J437" s="264"/>
      <c r="K437" s="264"/>
      <c r="L437" s="264"/>
      <c r="M437" s="264"/>
      <c r="N437" s="264"/>
      <c r="O437" s="264"/>
      <c r="P437" s="277"/>
      <c r="Q437" s="278"/>
    </row>
    <row r="438" spans="1:17" ht="13.95" customHeight="1" x14ac:dyDescent="0.25">
      <c r="A438" s="169"/>
      <c r="B438" s="273"/>
      <c r="C438" s="381" t="s">
        <v>1077</v>
      </c>
      <c r="D438" s="936"/>
      <c r="E438" s="937"/>
      <c r="F438" s="937"/>
      <c r="G438" s="937"/>
      <c r="H438" s="937"/>
      <c r="I438" s="378"/>
      <c r="J438" s="264"/>
      <c r="K438" s="264"/>
      <c r="L438" s="264"/>
      <c r="M438" s="264"/>
      <c r="N438" s="264"/>
      <c r="O438" s="264"/>
      <c r="P438" s="277"/>
      <c r="Q438" s="278"/>
    </row>
    <row r="439" spans="1:17" ht="13.95" customHeight="1" x14ac:dyDescent="0.25">
      <c r="A439" s="169"/>
      <c r="B439" s="273"/>
      <c r="C439" s="381" t="s">
        <v>333</v>
      </c>
      <c r="D439" s="936"/>
      <c r="E439" s="937"/>
      <c r="F439" s="937"/>
      <c r="G439" s="937"/>
      <c r="H439" s="937"/>
      <c r="I439" s="378"/>
      <c r="J439" s="264"/>
      <c r="K439" s="264"/>
      <c r="L439" s="264"/>
      <c r="M439" s="264"/>
      <c r="N439" s="264"/>
      <c r="O439" s="264"/>
      <c r="P439" s="277"/>
      <c r="Q439" s="278"/>
    </row>
    <row r="440" spans="1:17" ht="13.95" customHeight="1" x14ac:dyDescent="0.25">
      <c r="A440" s="169"/>
      <c r="B440" s="273"/>
      <c r="C440" s="381" t="s">
        <v>334</v>
      </c>
      <c r="D440" s="936"/>
      <c r="E440" s="937"/>
      <c r="F440" s="937"/>
      <c r="G440" s="937"/>
      <c r="H440" s="937"/>
      <c r="I440" s="378"/>
      <c r="J440" s="264"/>
      <c r="K440" s="264"/>
      <c r="L440" s="264"/>
      <c r="M440" s="264"/>
      <c r="N440" s="264"/>
      <c r="O440" s="264"/>
      <c r="P440" s="277"/>
      <c r="Q440" s="278"/>
    </row>
    <row r="441" spans="1:17" ht="13.95" customHeight="1" x14ac:dyDescent="0.25">
      <c r="A441" s="169"/>
      <c r="B441" s="273"/>
      <c r="C441" s="381" t="s">
        <v>335</v>
      </c>
      <c r="D441" s="936"/>
      <c r="E441" s="937"/>
      <c r="F441" s="937"/>
      <c r="G441" s="937"/>
      <c r="H441" s="937"/>
      <c r="I441" s="378"/>
      <c r="J441" s="264"/>
      <c r="K441" s="264"/>
      <c r="L441" s="264"/>
      <c r="M441" s="264"/>
      <c r="N441" s="264"/>
      <c r="O441" s="264"/>
      <c r="P441" s="277"/>
      <c r="Q441" s="278"/>
    </row>
    <row r="442" spans="1:17" ht="13.95" customHeight="1" x14ac:dyDescent="0.25">
      <c r="A442" s="169"/>
      <c r="B442" s="273"/>
      <c r="C442" s="381" t="s">
        <v>336</v>
      </c>
      <c r="D442" s="936"/>
      <c r="E442" s="937"/>
      <c r="F442" s="937"/>
      <c r="G442" s="937"/>
      <c r="H442" s="937"/>
      <c r="I442" s="378"/>
      <c r="J442" s="264"/>
      <c r="K442" s="264"/>
      <c r="L442" s="264"/>
      <c r="M442" s="264"/>
      <c r="N442" s="264"/>
      <c r="O442" s="264"/>
      <c r="P442" s="277"/>
      <c r="Q442" s="278"/>
    </row>
    <row r="443" spans="1:17" ht="13.95" customHeight="1" x14ac:dyDescent="0.25">
      <c r="A443" s="169"/>
      <c r="B443" s="273"/>
      <c r="C443" s="381" t="s">
        <v>337</v>
      </c>
      <c r="D443" s="936"/>
      <c r="E443" s="937"/>
      <c r="F443" s="937"/>
      <c r="G443" s="937"/>
      <c r="H443" s="937"/>
      <c r="I443" s="378"/>
      <c r="J443" s="264"/>
      <c r="K443" s="264"/>
      <c r="L443" s="264"/>
      <c r="M443" s="264"/>
      <c r="N443" s="264"/>
      <c r="O443" s="264"/>
      <c r="P443" s="277"/>
      <c r="Q443" s="278"/>
    </row>
    <row r="444" spans="1:17" ht="13.95" customHeight="1" x14ac:dyDescent="0.25">
      <c r="A444" s="169"/>
      <c r="B444" s="273"/>
      <c r="C444" s="381" t="s">
        <v>338</v>
      </c>
      <c r="D444" s="936"/>
      <c r="E444" s="937"/>
      <c r="F444" s="937"/>
      <c r="G444" s="937"/>
      <c r="H444" s="937"/>
      <c r="I444" s="378"/>
      <c r="J444" s="264"/>
      <c r="K444" s="264"/>
      <c r="L444" s="264"/>
      <c r="M444" s="264"/>
      <c r="N444" s="264"/>
      <c r="O444" s="264"/>
      <c r="P444" s="277"/>
      <c r="Q444" s="278"/>
    </row>
    <row r="445" spans="1:17" ht="13.95" customHeight="1" x14ac:dyDescent="0.25">
      <c r="A445" s="169"/>
      <c r="B445" s="273"/>
      <c r="C445" s="381" t="s">
        <v>339</v>
      </c>
      <c r="D445" s="936"/>
      <c r="E445" s="937"/>
      <c r="F445" s="937"/>
      <c r="G445" s="937"/>
      <c r="H445" s="937"/>
      <c r="I445" s="378"/>
      <c r="J445" s="264"/>
      <c r="K445" s="264"/>
      <c r="L445" s="264"/>
      <c r="M445" s="264"/>
      <c r="N445" s="264"/>
      <c r="O445" s="264"/>
      <c r="P445" s="277"/>
      <c r="Q445" s="278"/>
    </row>
    <row r="446" spans="1:17" ht="13.95" customHeight="1" x14ac:dyDescent="0.25">
      <c r="A446" s="169"/>
      <c r="B446" s="273"/>
      <c r="C446" s="381" t="s">
        <v>340</v>
      </c>
      <c r="D446" s="936"/>
      <c r="E446" s="937"/>
      <c r="F446" s="937"/>
      <c r="G446" s="937"/>
      <c r="H446" s="937"/>
      <c r="I446" s="378"/>
      <c r="J446" s="264"/>
      <c r="K446" s="264"/>
      <c r="L446" s="264"/>
      <c r="M446" s="264"/>
      <c r="N446" s="264"/>
      <c r="O446" s="264"/>
      <c r="P446" s="277"/>
      <c r="Q446" s="278"/>
    </row>
    <row r="447" spans="1:17" ht="13.95" customHeight="1" x14ac:dyDescent="0.25">
      <c r="A447" s="169"/>
      <c r="B447" s="273"/>
      <c r="C447" s="381" t="s">
        <v>341</v>
      </c>
      <c r="D447" s="936"/>
      <c r="E447" s="937"/>
      <c r="F447" s="937"/>
      <c r="G447" s="937"/>
      <c r="H447" s="937"/>
      <c r="I447" s="378"/>
      <c r="J447" s="264"/>
      <c r="K447" s="264"/>
      <c r="L447" s="264"/>
      <c r="M447" s="264"/>
      <c r="N447" s="264"/>
      <c r="O447" s="264"/>
      <c r="P447" s="277"/>
      <c r="Q447" s="278"/>
    </row>
    <row r="448" spans="1:17" ht="13.95" customHeight="1" x14ac:dyDescent="0.25">
      <c r="A448" s="169"/>
      <c r="B448" s="273"/>
      <c r="C448" s="381" t="s">
        <v>342</v>
      </c>
      <c r="D448" s="936"/>
      <c r="E448" s="937"/>
      <c r="F448" s="937"/>
      <c r="G448" s="937"/>
      <c r="H448" s="937"/>
      <c r="I448" s="378"/>
      <c r="J448" s="264"/>
      <c r="K448" s="264"/>
      <c r="L448" s="264"/>
      <c r="M448" s="264"/>
      <c r="N448" s="264"/>
      <c r="O448" s="264"/>
      <c r="P448" s="277"/>
      <c r="Q448" s="278"/>
    </row>
    <row r="449" spans="1:17" ht="13.95" customHeight="1" x14ac:dyDescent="0.25">
      <c r="A449" s="169"/>
      <c r="B449" s="273"/>
      <c r="C449" s="381" t="s">
        <v>343</v>
      </c>
      <c r="D449" s="936"/>
      <c r="E449" s="937"/>
      <c r="F449" s="937"/>
      <c r="G449" s="937"/>
      <c r="H449" s="937"/>
      <c r="I449" s="378"/>
      <c r="J449" s="264"/>
      <c r="K449" s="264"/>
      <c r="L449" s="264"/>
      <c r="M449" s="264"/>
      <c r="N449" s="264"/>
      <c r="O449" s="264"/>
      <c r="P449" s="277"/>
      <c r="Q449" s="278"/>
    </row>
    <row r="450" spans="1:17" ht="13.95" customHeight="1" x14ac:dyDescent="0.25">
      <c r="A450" s="169"/>
      <c r="B450" s="273"/>
      <c r="C450" s="381" t="s">
        <v>932</v>
      </c>
      <c r="D450" s="936"/>
      <c r="E450" s="937"/>
      <c r="F450" s="937"/>
      <c r="G450" s="937"/>
      <c r="H450" s="937"/>
      <c r="I450" s="378"/>
      <c r="J450" s="264"/>
      <c r="K450" s="264"/>
      <c r="L450" s="264"/>
      <c r="M450" s="264"/>
      <c r="N450" s="264"/>
      <c r="O450" s="264"/>
      <c r="P450" s="277"/>
      <c r="Q450" s="278"/>
    </row>
    <row r="451" spans="1:17" ht="13.95" customHeight="1" x14ac:dyDescent="0.25">
      <c r="A451" s="169"/>
      <c r="B451" s="273"/>
      <c r="C451" s="381" t="s">
        <v>933</v>
      </c>
      <c r="D451" s="936"/>
      <c r="E451" s="937"/>
      <c r="F451" s="937"/>
      <c r="G451" s="937"/>
      <c r="H451" s="937"/>
      <c r="I451" s="378"/>
      <c r="J451" s="264"/>
      <c r="K451" s="264"/>
      <c r="L451" s="264"/>
      <c r="M451" s="264"/>
      <c r="N451" s="264"/>
      <c r="O451" s="264"/>
      <c r="P451" s="277"/>
      <c r="Q451" s="278"/>
    </row>
    <row r="452" spans="1:17" ht="13.95" customHeight="1" x14ac:dyDescent="0.25">
      <c r="A452" s="169"/>
      <c r="B452" s="273"/>
      <c r="C452" s="381" t="s">
        <v>934</v>
      </c>
      <c r="D452" s="936"/>
      <c r="E452" s="937"/>
      <c r="F452" s="937"/>
      <c r="G452" s="937"/>
      <c r="H452" s="937"/>
      <c r="I452" s="378"/>
      <c r="J452" s="264"/>
      <c r="K452" s="264"/>
      <c r="L452" s="264"/>
      <c r="M452" s="264"/>
      <c r="N452" s="264"/>
      <c r="O452" s="264"/>
      <c r="P452" s="277"/>
      <c r="Q452" s="278"/>
    </row>
    <row r="453" spans="1:17" ht="13.95" customHeight="1" x14ac:dyDescent="0.25">
      <c r="A453" s="169"/>
      <c r="B453" s="273"/>
      <c r="C453" s="381" t="s">
        <v>935</v>
      </c>
      <c r="D453" s="936"/>
      <c r="E453" s="937"/>
      <c r="F453" s="937"/>
      <c r="G453" s="937"/>
      <c r="H453" s="937"/>
      <c r="I453" s="378"/>
      <c r="J453" s="264"/>
      <c r="K453" s="264"/>
      <c r="L453" s="264"/>
      <c r="M453" s="264"/>
      <c r="N453" s="264"/>
      <c r="O453" s="264"/>
      <c r="P453" s="277"/>
      <c r="Q453" s="278"/>
    </row>
    <row r="454" spans="1:17" ht="13.95" customHeight="1" x14ac:dyDescent="0.25">
      <c r="A454" s="169"/>
      <c r="B454" s="273"/>
      <c r="C454" s="381" t="s">
        <v>936</v>
      </c>
      <c r="D454" s="936"/>
      <c r="E454" s="937"/>
      <c r="F454" s="937"/>
      <c r="G454" s="937"/>
      <c r="H454" s="937"/>
      <c r="I454" s="378"/>
      <c r="J454" s="264"/>
      <c r="K454" s="264"/>
      <c r="L454" s="264"/>
      <c r="M454" s="264"/>
      <c r="N454" s="264"/>
      <c r="O454" s="264"/>
      <c r="P454" s="277"/>
      <c r="Q454" s="278"/>
    </row>
    <row r="455" spans="1:17" ht="13.95" customHeight="1" x14ac:dyDescent="0.25">
      <c r="A455" s="169"/>
      <c r="B455" s="273"/>
      <c r="C455" s="381" t="s">
        <v>937</v>
      </c>
      <c r="D455" s="936"/>
      <c r="E455" s="937"/>
      <c r="F455" s="937"/>
      <c r="G455" s="937"/>
      <c r="H455" s="937"/>
      <c r="I455" s="378"/>
      <c r="J455" s="264"/>
      <c r="K455" s="264"/>
      <c r="L455" s="264"/>
      <c r="M455" s="264"/>
      <c r="N455" s="264"/>
      <c r="O455" s="264"/>
      <c r="P455" s="277"/>
      <c r="Q455" s="278"/>
    </row>
    <row r="456" spans="1:17" ht="13.95" customHeight="1" x14ac:dyDescent="0.25">
      <c r="A456" s="169"/>
      <c r="B456" s="273"/>
      <c r="C456" s="381" t="s">
        <v>938</v>
      </c>
      <c r="D456" s="936"/>
      <c r="E456" s="937"/>
      <c r="F456" s="937"/>
      <c r="G456" s="937"/>
      <c r="H456" s="937"/>
      <c r="I456" s="378"/>
      <c r="J456" s="264"/>
      <c r="K456" s="264"/>
      <c r="L456" s="264"/>
      <c r="M456" s="264"/>
      <c r="N456" s="264"/>
      <c r="O456" s="264"/>
      <c r="P456" s="277"/>
      <c r="Q456" s="278"/>
    </row>
    <row r="457" spans="1:17" ht="13.95" customHeight="1" x14ac:dyDescent="0.25">
      <c r="A457" s="169"/>
      <c r="B457" s="273"/>
      <c r="C457" s="381" t="s">
        <v>939</v>
      </c>
      <c r="D457" s="936"/>
      <c r="E457" s="937"/>
      <c r="F457" s="937"/>
      <c r="G457" s="937"/>
      <c r="H457" s="937"/>
      <c r="I457" s="378"/>
      <c r="J457" s="264"/>
      <c r="K457" s="264"/>
      <c r="L457" s="264"/>
      <c r="M457" s="264"/>
      <c r="N457" s="264"/>
      <c r="O457" s="264"/>
      <c r="P457" s="277"/>
      <c r="Q457" s="278"/>
    </row>
    <row r="458" spans="1:17" ht="13.95" customHeight="1" x14ac:dyDescent="0.25">
      <c r="A458" s="169"/>
      <c r="B458" s="273"/>
      <c r="C458" s="381" t="s">
        <v>940</v>
      </c>
      <c r="D458" s="936"/>
      <c r="E458" s="937"/>
      <c r="F458" s="937"/>
      <c r="G458" s="937"/>
      <c r="H458" s="937"/>
      <c r="I458" s="378"/>
      <c r="J458" s="264"/>
      <c r="K458" s="264"/>
      <c r="L458" s="264"/>
      <c r="M458" s="264"/>
      <c r="N458" s="264"/>
      <c r="O458" s="264"/>
      <c r="P458" s="277"/>
      <c r="Q458" s="278"/>
    </row>
    <row r="459" spans="1:17" ht="13.95" customHeight="1" x14ac:dyDescent="0.25">
      <c r="A459" s="169"/>
      <c r="B459" s="273"/>
      <c r="C459" s="381" t="s">
        <v>941</v>
      </c>
      <c r="D459" s="936"/>
      <c r="E459" s="937"/>
      <c r="F459" s="937"/>
      <c r="G459" s="937"/>
      <c r="H459" s="937"/>
      <c r="I459" s="378"/>
      <c r="J459" s="264"/>
      <c r="K459" s="264"/>
      <c r="L459" s="264"/>
      <c r="M459" s="264"/>
      <c r="N459" s="264"/>
      <c r="O459" s="264"/>
      <c r="P459" s="277"/>
      <c r="Q459" s="278"/>
    </row>
    <row r="460" spans="1:17" ht="13.95" customHeight="1" x14ac:dyDescent="0.25">
      <c r="A460" s="169"/>
      <c r="B460" s="273"/>
      <c r="C460" s="381" t="s">
        <v>942</v>
      </c>
      <c r="D460" s="936"/>
      <c r="E460" s="937"/>
      <c r="F460" s="937"/>
      <c r="G460" s="937"/>
      <c r="H460" s="937"/>
      <c r="I460" s="378"/>
      <c r="J460" s="264"/>
      <c r="K460" s="264"/>
      <c r="L460" s="264"/>
      <c r="M460" s="264"/>
      <c r="N460" s="264"/>
      <c r="O460" s="264"/>
      <c r="P460" s="277"/>
      <c r="Q460" s="278"/>
    </row>
    <row r="461" spans="1:17" ht="13.95" customHeight="1" x14ac:dyDescent="0.25">
      <c r="A461" s="169"/>
      <c r="B461" s="273"/>
      <c r="C461" s="381" t="s">
        <v>943</v>
      </c>
      <c r="D461" s="936"/>
      <c r="E461" s="937"/>
      <c r="F461" s="937"/>
      <c r="G461" s="937"/>
      <c r="H461" s="937"/>
      <c r="I461" s="378"/>
      <c r="J461" s="726"/>
      <c r="K461" s="726"/>
      <c r="L461" s="726"/>
      <c r="M461" s="726"/>
      <c r="N461" s="726"/>
      <c r="O461" s="726"/>
      <c r="P461" s="277"/>
      <c r="Q461" s="278"/>
    </row>
    <row r="462" spans="1:17" ht="13.95" customHeight="1" x14ac:dyDescent="0.25">
      <c r="A462" s="169"/>
      <c r="B462" s="748"/>
      <c r="C462" s="381" t="s">
        <v>944</v>
      </c>
      <c r="D462" s="936"/>
      <c r="E462" s="937"/>
      <c r="F462" s="937"/>
      <c r="G462" s="937"/>
      <c r="H462" s="937"/>
      <c r="I462" s="724"/>
      <c r="J462" s="724"/>
      <c r="K462" s="724"/>
      <c r="L462" s="724"/>
      <c r="M462" s="724"/>
      <c r="N462" s="724"/>
      <c r="O462" s="724"/>
      <c r="P462" s="749"/>
      <c r="Q462" s="240"/>
    </row>
    <row r="463" spans="1:17" ht="13.95" customHeight="1" x14ac:dyDescent="0.25">
      <c r="A463" s="169"/>
      <c r="B463" s="160"/>
      <c r="C463" s="381" t="s">
        <v>945</v>
      </c>
      <c r="D463" s="936"/>
      <c r="E463" s="937"/>
      <c r="F463" s="937"/>
      <c r="G463" s="937"/>
      <c r="H463" s="937"/>
      <c r="I463" s="264"/>
      <c r="J463" s="264"/>
      <c r="K463" s="264"/>
      <c r="L463" s="264"/>
      <c r="M463" s="264"/>
      <c r="N463" s="264"/>
      <c r="O463" s="264"/>
      <c r="P463" s="744"/>
      <c r="Q463" s="240"/>
    </row>
    <row r="464" spans="1:17" ht="13.95" customHeight="1" x14ac:dyDescent="0.25">
      <c r="A464" s="169"/>
      <c r="B464" s="160"/>
      <c r="C464" s="381" t="s">
        <v>946</v>
      </c>
      <c r="D464" s="936"/>
      <c r="E464" s="937"/>
      <c r="F464" s="937"/>
      <c r="G464" s="937"/>
      <c r="H464" s="937"/>
      <c r="I464" s="264"/>
      <c r="J464" s="264"/>
      <c r="K464" s="264"/>
      <c r="L464" s="264"/>
      <c r="M464" s="264"/>
      <c r="N464" s="264"/>
      <c r="O464" s="264"/>
      <c r="P464" s="744"/>
      <c r="Q464" s="240"/>
    </row>
    <row r="465" spans="1:17" ht="13.95" customHeight="1" x14ac:dyDescent="0.25">
      <c r="A465" s="169"/>
      <c r="B465" s="160"/>
      <c r="C465" s="381" t="s">
        <v>947</v>
      </c>
      <c r="D465" s="936"/>
      <c r="E465" s="937"/>
      <c r="F465" s="937"/>
      <c r="G465" s="937"/>
      <c r="H465" s="937"/>
      <c r="I465" s="264"/>
      <c r="J465" s="264"/>
      <c r="K465" s="264"/>
      <c r="L465" s="264"/>
      <c r="M465" s="264"/>
      <c r="N465" s="264"/>
      <c r="O465" s="264"/>
      <c r="P465" s="744"/>
      <c r="Q465" s="240"/>
    </row>
    <row r="466" spans="1:17" ht="13.95" customHeight="1" x14ac:dyDescent="0.25">
      <c r="A466" s="169"/>
      <c r="B466" s="160"/>
      <c r="C466" s="381" t="s">
        <v>948</v>
      </c>
      <c r="D466" s="936"/>
      <c r="E466" s="937"/>
      <c r="F466" s="937"/>
      <c r="G466" s="937"/>
      <c r="H466" s="937"/>
      <c r="I466" s="264"/>
      <c r="J466" s="264"/>
      <c r="K466" s="264"/>
      <c r="L466" s="264"/>
      <c r="M466" s="264"/>
      <c r="N466" s="264"/>
      <c r="O466" s="264"/>
      <c r="P466" s="744"/>
      <c r="Q466" s="240"/>
    </row>
    <row r="467" spans="1:17" ht="13.95" customHeight="1" x14ac:dyDescent="0.25">
      <c r="A467" s="169"/>
      <c r="B467" s="160"/>
      <c r="C467" s="381" t="s">
        <v>949</v>
      </c>
      <c r="D467" s="936"/>
      <c r="E467" s="937"/>
      <c r="F467" s="937"/>
      <c r="G467" s="937"/>
      <c r="H467" s="937"/>
      <c r="I467" s="264"/>
      <c r="J467" s="264"/>
      <c r="K467" s="264"/>
      <c r="L467" s="264"/>
      <c r="M467" s="264"/>
      <c r="N467" s="264"/>
      <c r="O467" s="264"/>
      <c r="P467" s="744"/>
      <c r="Q467" s="240"/>
    </row>
    <row r="468" spans="1:17" ht="13.95" customHeight="1" x14ac:dyDescent="0.25">
      <c r="A468" s="169"/>
      <c r="B468" s="160"/>
      <c r="C468" s="720" t="s">
        <v>950</v>
      </c>
      <c r="D468" s="938"/>
      <c r="E468" s="1066"/>
      <c r="F468" s="1067"/>
      <c r="G468" s="1067"/>
      <c r="H468" s="1066"/>
      <c r="I468" s="264"/>
      <c r="J468" s="264"/>
      <c r="K468" s="264"/>
      <c r="L468" s="264"/>
      <c r="M468" s="264"/>
      <c r="N468" s="264"/>
      <c r="O468" s="264"/>
      <c r="P468" s="744"/>
      <c r="Q468" s="240"/>
    </row>
    <row r="469" spans="1:17" ht="13.95" customHeight="1" x14ac:dyDescent="0.25">
      <c r="A469" s="169"/>
      <c r="B469" s="160"/>
      <c r="C469" s="720" t="s">
        <v>951</v>
      </c>
      <c r="D469" s="938"/>
      <c r="E469" s="1066"/>
      <c r="F469" s="1067"/>
      <c r="G469" s="1067"/>
      <c r="H469" s="1066"/>
      <c r="I469" s="264"/>
      <c r="J469" s="264"/>
      <c r="K469" s="264"/>
      <c r="L469" s="264"/>
      <c r="M469" s="264"/>
      <c r="N469" s="264"/>
      <c r="O469" s="264"/>
      <c r="P469" s="744"/>
      <c r="Q469" s="240"/>
    </row>
    <row r="470" spans="1:17" ht="13.95" customHeight="1" x14ac:dyDescent="0.25">
      <c r="A470" s="169"/>
      <c r="B470" s="160"/>
      <c r="C470" s="725" t="s">
        <v>952</v>
      </c>
      <c r="D470" s="939"/>
      <c r="E470" s="1068"/>
      <c r="F470" s="1069"/>
      <c r="G470" s="1069"/>
      <c r="H470" s="1068"/>
      <c r="I470" s="264"/>
      <c r="J470" s="264"/>
      <c r="K470" s="264"/>
      <c r="L470" s="264"/>
      <c r="M470" s="264"/>
      <c r="N470" s="264"/>
      <c r="O470" s="264"/>
      <c r="P470" s="744"/>
      <c r="Q470" s="240"/>
    </row>
    <row r="471" spans="1:17" ht="13.95" customHeight="1" x14ac:dyDescent="0.25">
      <c r="A471" s="169"/>
      <c r="B471" s="745"/>
      <c r="C471" s="720" t="s">
        <v>953</v>
      </c>
      <c r="D471" s="938"/>
      <c r="E471" s="937"/>
      <c r="F471" s="1067"/>
      <c r="G471" s="1067"/>
      <c r="H471" s="937"/>
      <c r="I471" s="738"/>
      <c r="J471" s="738"/>
      <c r="K471" s="738"/>
      <c r="L471" s="738"/>
      <c r="M471" s="738"/>
      <c r="N471" s="738"/>
      <c r="O471" s="738"/>
      <c r="P471" s="750"/>
      <c r="Q471" s="240"/>
    </row>
    <row r="472" spans="1:17" ht="13.95" customHeight="1" x14ac:dyDescent="0.25">
      <c r="A472" s="169"/>
      <c r="B472" s="160"/>
      <c r="C472" s="720"/>
      <c r="D472" s="938"/>
      <c r="E472" s="937"/>
      <c r="F472" s="1067"/>
      <c r="G472" s="1067"/>
      <c r="H472" s="937"/>
      <c r="I472" s="264"/>
      <c r="J472" s="264"/>
      <c r="K472" s="264"/>
      <c r="L472" s="264"/>
      <c r="M472" s="264"/>
      <c r="N472" s="264"/>
      <c r="O472" s="264"/>
      <c r="P472" s="744"/>
      <c r="Q472" s="240"/>
    </row>
    <row r="473" spans="1:17" ht="13.95" customHeight="1" x14ac:dyDescent="0.25">
      <c r="A473" s="169"/>
      <c r="B473" s="160"/>
      <c r="C473" s="720"/>
      <c r="D473" s="938"/>
      <c r="E473" s="937"/>
      <c r="F473" s="1067"/>
      <c r="G473" s="1067"/>
      <c r="H473" s="937"/>
      <c r="I473" s="264"/>
      <c r="J473" s="264"/>
      <c r="K473" s="264"/>
      <c r="L473" s="264"/>
      <c r="M473" s="264"/>
      <c r="N473" s="264"/>
      <c r="O473" s="264"/>
      <c r="P473" s="744"/>
      <c r="Q473" s="240"/>
    </row>
    <row r="474" spans="1:17" ht="13.95" customHeight="1" x14ac:dyDescent="0.25">
      <c r="A474" s="169"/>
      <c r="B474" s="160"/>
      <c r="C474" s="720"/>
      <c r="D474" s="938"/>
      <c r="E474" s="937"/>
      <c r="F474" s="1067"/>
      <c r="G474" s="1067"/>
      <c r="H474" s="937"/>
      <c r="I474" s="264"/>
      <c r="J474" s="264"/>
      <c r="K474" s="264"/>
      <c r="L474" s="264"/>
      <c r="M474" s="264"/>
      <c r="N474" s="264"/>
      <c r="O474" s="264"/>
      <c r="P474" s="744"/>
      <c r="Q474" s="240"/>
    </row>
    <row r="475" spans="1:17" ht="13.95" customHeight="1" x14ac:dyDescent="0.25">
      <c r="A475" s="169"/>
      <c r="B475" s="160"/>
      <c r="C475" s="720"/>
      <c r="D475" s="938"/>
      <c r="E475" s="937"/>
      <c r="F475" s="1067"/>
      <c r="G475" s="1067"/>
      <c r="H475" s="937"/>
      <c r="I475" s="264"/>
      <c r="J475" s="264"/>
      <c r="K475" s="264"/>
      <c r="L475" s="264"/>
      <c r="M475" s="264"/>
      <c r="N475" s="264"/>
      <c r="O475" s="264"/>
      <c r="P475" s="744"/>
      <c r="Q475" s="240"/>
    </row>
    <row r="476" spans="1:17" ht="13.95" customHeight="1" x14ac:dyDescent="0.25">
      <c r="A476" s="169"/>
      <c r="B476" s="160"/>
      <c r="C476" s="720"/>
      <c r="D476" s="938"/>
      <c r="E476" s="937"/>
      <c r="F476" s="1067"/>
      <c r="G476" s="1067"/>
      <c r="H476" s="937"/>
      <c r="I476" s="264"/>
      <c r="J476" s="264"/>
      <c r="K476" s="264"/>
      <c r="L476" s="264"/>
      <c r="M476" s="264"/>
      <c r="N476" s="264"/>
      <c r="O476" s="264"/>
      <c r="P476" s="744"/>
      <c r="Q476" s="240"/>
    </row>
    <row r="477" spans="1:17" ht="13.95" customHeight="1" x14ac:dyDescent="0.25">
      <c r="A477" s="169"/>
      <c r="B477" s="746"/>
      <c r="C477" s="243"/>
      <c r="D477" s="243"/>
      <c r="E477" s="243"/>
      <c r="F477" s="243"/>
      <c r="G477" s="243"/>
      <c r="H477" s="243"/>
      <c r="I477" s="243"/>
      <c r="J477" s="243"/>
      <c r="K477" s="243"/>
      <c r="L477" s="243"/>
      <c r="M477" s="243"/>
      <c r="N477" s="243"/>
      <c r="O477" s="243"/>
      <c r="P477" s="747"/>
      <c r="Q477" s="240"/>
    </row>
    <row r="478" spans="1:17" ht="13.95" customHeight="1" x14ac:dyDescent="0.25">
      <c r="A478" s="169"/>
      <c r="B478" s="169"/>
      <c r="C478" s="169"/>
      <c r="D478" s="169"/>
      <c r="E478" s="169"/>
      <c r="F478" s="169"/>
      <c r="G478" s="169"/>
      <c r="H478" s="169"/>
      <c r="I478" s="169"/>
      <c r="J478" s="169"/>
      <c r="K478" s="169"/>
      <c r="L478" s="169"/>
      <c r="M478" s="169"/>
      <c r="N478" s="169"/>
      <c r="O478" s="169"/>
      <c r="P478" s="169"/>
      <c r="Q478" s="169"/>
    </row>
  </sheetData>
  <sheetProtection sheet="1" formatCells="0" formatColumns="0" formatRows="0" autoFilter="0"/>
  <mergeCells count="11">
    <mergeCell ref="T4:T16"/>
    <mergeCell ref="J18:K18"/>
    <mergeCell ref="M18:N18"/>
    <mergeCell ref="C9:H9"/>
    <mergeCell ref="J6:L6"/>
    <mergeCell ref="M7:N8"/>
    <mergeCell ref="J7:K8"/>
    <mergeCell ref="J9:K9"/>
    <mergeCell ref="M9:N9"/>
    <mergeCell ref="M6:O6"/>
    <mergeCell ref="C6:E6"/>
  </mergeCells>
  <pageMargins left="0.7" right="0.7" top="0.75" bottom="0.75" header="0.3" footer="0.3"/>
  <pageSetup paperSize="9" orientation="portrait" r:id="rId1"/>
  <drawing r:id="rId2"/>
  <tableParts count="5">
    <tablePart r:id="rId3"/>
    <tablePart r:id="rId4"/>
    <tablePart r:id="rId5"/>
    <tablePart r:id="rId6"/>
    <tablePart r:id="rId7"/>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17"/>
  <sheetViews>
    <sheetView workbookViewId="0"/>
  </sheetViews>
  <sheetFormatPr defaultRowHeight="13.8" x14ac:dyDescent="0.25"/>
  <cols>
    <col min="1" max="1" width="3.81640625" style="654" customWidth="1"/>
    <col min="2" max="2" width="21.81640625" style="654" customWidth="1"/>
    <col min="3" max="3" width="40.08984375" style="654" customWidth="1"/>
    <col min="4" max="4" width="8.7265625" style="654"/>
    <col min="5" max="5" width="37.26953125" style="654" customWidth="1"/>
    <col min="6" max="6" width="40.54296875" style="654" customWidth="1"/>
    <col min="7" max="7" width="43.36328125" style="654" customWidth="1"/>
    <col min="8" max="8" width="5.08984375" style="654" customWidth="1"/>
    <col min="9" max="10" width="8.7265625" style="654"/>
    <col min="11" max="11" width="80.6328125" style="654" customWidth="1"/>
    <col min="12" max="16384" width="8.7265625" style="654"/>
  </cols>
  <sheetData>
    <row r="1" spans="1:12" x14ac:dyDescent="0.25">
      <c r="A1" s="917"/>
      <c r="B1" s="917"/>
      <c r="C1" s="917"/>
      <c r="D1" s="917"/>
      <c r="E1" s="917"/>
      <c r="F1" s="917"/>
      <c r="G1" s="917"/>
      <c r="H1" s="917"/>
      <c r="J1" s="838"/>
      <c r="K1" s="838"/>
      <c r="L1" s="839"/>
    </row>
    <row r="2" spans="1:12" x14ac:dyDescent="0.25">
      <c r="A2" s="917"/>
      <c r="B2" s="976" t="s">
        <v>3045</v>
      </c>
      <c r="C2" s="976">
        <f>MATCH(Summary!H7,Languages!1:1,0)</f>
        <v>3</v>
      </c>
      <c r="D2" s="977"/>
      <c r="E2" s="917"/>
      <c r="F2" s="917"/>
      <c r="G2" s="917"/>
      <c r="H2" s="917"/>
      <c r="J2" s="838"/>
      <c r="K2" s="911" t="s">
        <v>2307</v>
      </c>
      <c r="L2" s="839"/>
    </row>
    <row r="3" spans="1:12" x14ac:dyDescent="0.25">
      <c r="A3" s="917"/>
      <c r="B3" s="978" t="s">
        <v>446</v>
      </c>
      <c r="C3" s="978" t="s">
        <v>3044</v>
      </c>
      <c r="D3" s="979" t="s">
        <v>507</v>
      </c>
      <c r="E3" s="956" t="s">
        <v>669</v>
      </c>
      <c r="F3" s="956" t="s">
        <v>668</v>
      </c>
      <c r="G3" s="956" t="s">
        <v>670</v>
      </c>
      <c r="H3" s="917"/>
      <c r="J3" s="838"/>
      <c r="K3" s="912"/>
      <c r="L3" s="839"/>
    </row>
    <row r="4" spans="1:12" ht="100.05" customHeight="1" x14ac:dyDescent="0.25">
      <c r="A4" s="917"/>
      <c r="B4" s="980" t="s">
        <v>57</v>
      </c>
      <c r="C4" s="981" t="str">
        <f>VLOOKUP($D4,$D$4:$G$14,$C$2,FALSE)</f>
        <v xml:space="preserve">CRITICAL, tiedot Infoimport-välilehdeltä </v>
      </c>
      <c r="D4" s="982">
        <v>1</v>
      </c>
      <c r="E4" s="983" t="s">
        <v>57</v>
      </c>
      <c r="F4" s="983" t="s">
        <v>3056</v>
      </c>
      <c r="G4" s="983" t="s">
        <v>57</v>
      </c>
      <c r="H4" s="917"/>
      <c r="J4" s="838"/>
      <c r="K4" s="1295" t="s">
        <v>3101</v>
      </c>
      <c r="L4" s="839"/>
    </row>
    <row r="5" spans="1:12" ht="100.05" customHeight="1" x14ac:dyDescent="0.25">
      <c r="A5" s="917"/>
      <c r="B5" s="980" t="s">
        <v>48</v>
      </c>
      <c r="C5" s="981" t="str">
        <f t="shared" ref="C5:C14" si="0">VLOOKUP($D5,$D$4:$G$14,$C$2,FALSE)</f>
        <v xml:space="preserve">ASSET, tiedot Infoimport-välilehdeltä
</v>
      </c>
      <c r="D5" s="982">
        <v>2</v>
      </c>
      <c r="E5" s="983" t="s">
        <v>48</v>
      </c>
      <c r="F5" s="983" t="s">
        <v>3055</v>
      </c>
      <c r="G5" s="983" t="s">
        <v>48</v>
      </c>
      <c r="H5" s="917"/>
      <c r="J5" s="838"/>
      <c r="K5" s="1295"/>
      <c r="L5" s="839"/>
    </row>
    <row r="6" spans="1:12" ht="100.05" customHeight="1" x14ac:dyDescent="0.25">
      <c r="A6" s="917"/>
      <c r="B6" s="980" t="s">
        <v>66</v>
      </c>
      <c r="C6" s="981" t="str">
        <f t="shared" si="0"/>
        <v>THREAT, tiedot Infoimport-välilehdeltä</v>
      </c>
      <c r="D6" s="982">
        <v>3</v>
      </c>
      <c r="E6" s="983" t="s">
        <v>66</v>
      </c>
      <c r="F6" s="983" t="s">
        <v>3046</v>
      </c>
      <c r="G6" s="983" t="s">
        <v>66</v>
      </c>
      <c r="H6" s="917"/>
      <c r="J6" s="838"/>
      <c r="K6" s="1295"/>
      <c r="L6" s="838"/>
    </row>
    <row r="7" spans="1:12" ht="100.05" customHeight="1" x14ac:dyDescent="0.25">
      <c r="A7" s="917"/>
      <c r="B7" s="980" t="s">
        <v>0</v>
      </c>
      <c r="C7" s="981" t="str">
        <f t="shared" si="0"/>
        <v>RISK, tiedot Infoimport-välilehdeltä</v>
      </c>
      <c r="D7" s="982">
        <v>4</v>
      </c>
      <c r="E7" s="983" t="s">
        <v>0</v>
      </c>
      <c r="F7" s="983" t="s">
        <v>3047</v>
      </c>
      <c r="G7" s="983" t="s">
        <v>0</v>
      </c>
      <c r="H7" s="917"/>
      <c r="J7" s="838"/>
      <c r="K7" s="1295"/>
      <c r="L7" s="838"/>
    </row>
    <row r="8" spans="1:12" ht="100.05" customHeight="1" x14ac:dyDescent="0.25">
      <c r="A8" s="917"/>
      <c r="B8" s="980" t="s">
        <v>61</v>
      </c>
      <c r="C8" s="981" t="str">
        <f t="shared" si="0"/>
        <v xml:space="preserve">ACCESS, tiedot Infoimport-välilehdeltä
</v>
      </c>
      <c r="D8" s="982">
        <v>5</v>
      </c>
      <c r="E8" s="983" t="s">
        <v>61</v>
      </c>
      <c r="F8" s="983" t="s">
        <v>3048</v>
      </c>
      <c r="G8" s="983" t="s">
        <v>61</v>
      </c>
      <c r="H8" s="917"/>
      <c r="J8" s="838"/>
      <c r="K8" s="1295"/>
      <c r="L8" s="838"/>
    </row>
    <row r="9" spans="1:12" ht="100.05" customHeight="1" x14ac:dyDescent="0.25">
      <c r="A9" s="917"/>
      <c r="B9" s="980" t="s">
        <v>69</v>
      </c>
      <c r="C9" s="981" t="str">
        <f t="shared" si="0"/>
        <v>SITUATION, tiedot Infoimport-välilehdeltä</v>
      </c>
      <c r="D9" s="982">
        <v>6</v>
      </c>
      <c r="E9" s="983" t="s">
        <v>69</v>
      </c>
      <c r="F9" s="983" t="s">
        <v>3049</v>
      </c>
      <c r="G9" s="983" t="s">
        <v>69</v>
      </c>
      <c r="H9" s="917"/>
      <c r="J9" s="838"/>
      <c r="K9" s="1295"/>
      <c r="L9" s="838"/>
    </row>
    <row r="10" spans="1:12" ht="100.05" customHeight="1" x14ac:dyDescent="0.25">
      <c r="A10" s="917"/>
      <c r="B10" s="980" t="s">
        <v>71</v>
      </c>
      <c r="C10" s="981" t="str">
        <f t="shared" si="0"/>
        <v>RESPONSE, tiedot Infoimport-välilehdeltä</v>
      </c>
      <c r="D10" s="982">
        <v>7</v>
      </c>
      <c r="E10" s="983" t="s">
        <v>71</v>
      </c>
      <c r="F10" s="983" t="s">
        <v>3050</v>
      </c>
      <c r="G10" s="983" t="s">
        <v>71</v>
      </c>
      <c r="H10" s="917"/>
      <c r="J10" s="838"/>
      <c r="K10" s="1295"/>
      <c r="L10" s="838"/>
    </row>
    <row r="11" spans="1:12" ht="100.05" customHeight="1" x14ac:dyDescent="0.25">
      <c r="A11" s="917"/>
      <c r="B11" s="980" t="s">
        <v>1145</v>
      </c>
      <c r="C11" s="981" t="str">
        <f t="shared" si="0"/>
        <v>THIRDPARTY, tiedot Infoimport-välilehdeltä</v>
      </c>
      <c r="D11" s="982">
        <v>8</v>
      </c>
      <c r="E11" s="983" t="s">
        <v>1145</v>
      </c>
      <c r="F11" s="983" t="s">
        <v>3051</v>
      </c>
      <c r="G11" s="983" t="s">
        <v>1145</v>
      </c>
      <c r="H11" s="917"/>
      <c r="J11" s="838"/>
      <c r="K11" s="1295"/>
      <c r="L11" s="838"/>
    </row>
    <row r="12" spans="1:12" ht="100.05" customHeight="1" x14ac:dyDescent="0.25">
      <c r="A12" s="917"/>
      <c r="B12" s="980" t="s">
        <v>77</v>
      </c>
      <c r="C12" s="981" t="str">
        <f t="shared" si="0"/>
        <v>WORKFORCE, tiedot Infoimport-välilehdeltä</v>
      </c>
      <c r="D12" s="982">
        <v>9</v>
      </c>
      <c r="E12" s="983" t="s">
        <v>77</v>
      </c>
      <c r="F12" s="983" t="s">
        <v>3054</v>
      </c>
      <c r="G12" s="983" t="s">
        <v>77</v>
      </c>
      <c r="H12" s="917"/>
      <c r="J12" s="838"/>
      <c r="K12" s="1295"/>
      <c r="L12" s="838"/>
    </row>
    <row r="13" spans="1:12" ht="100.05" customHeight="1" x14ac:dyDescent="0.25">
      <c r="A13" s="917"/>
      <c r="B13" s="980" t="s">
        <v>80</v>
      </c>
      <c r="C13" s="981" t="str">
        <f t="shared" si="0"/>
        <v>ARCHITECTURE, tiedot Infoimport-välilehdeltä</v>
      </c>
      <c r="D13" s="982">
        <v>10</v>
      </c>
      <c r="E13" s="983" t="s">
        <v>80</v>
      </c>
      <c r="F13" s="983" t="s">
        <v>3053</v>
      </c>
      <c r="G13" s="983" t="s">
        <v>80</v>
      </c>
      <c r="H13" s="917"/>
      <c r="J13" s="838"/>
      <c r="K13" s="1295"/>
      <c r="L13" s="838"/>
    </row>
    <row r="14" spans="1:12" ht="100.05" customHeight="1" x14ac:dyDescent="0.25">
      <c r="A14" s="917"/>
      <c r="B14" s="980" t="s">
        <v>82</v>
      </c>
      <c r="C14" s="981" t="str">
        <f t="shared" si="0"/>
        <v>PROGRAM, tiedot Infoimport-välilehdeltä</v>
      </c>
      <c r="D14" s="982">
        <v>11</v>
      </c>
      <c r="E14" s="983" t="s">
        <v>82</v>
      </c>
      <c r="F14" s="983" t="s">
        <v>3052</v>
      </c>
      <c r="G14" s="983" t="s">
        <v>82</v>
      </c>
      <c r="H14" s="917"/>
      <c r="J14" s="838"/>
      <c r="K14" s="1295"/>
      <c r="L14" s="838"/>
    </row>
    <row r="15" spans="1:12" x14ac:dyDescent="0.25">
      <c r="A15" s="917"/>
      <c r="B15" s="917"/>
      <c r="C15" s="917"/>
      <c r="D15" s="917"/>
      <c r="E15" s="917"/>
      <c r="F15" s="917"/>
      <c r="G15" s="917"/>
      <c r="H15" s="917"/>
      <c r="J15" s="838"/>
      <c r="K15" s="1295"/>
      <c r="L15" s="838"/>
    </row>
    <row r="16" spans="1:12" x14ac:dyDescent="0.25">
      <c r="J16" s="838"/>
      <c r="K16" s="1296"/>
      <c r="L16" s="838"/>
    </row>
    <row r="17" spans="10:12" x14ac:dyDescent="0.25">
      <c r="J17" s="838"/>
      <c r="K17" s="838"/>
      <c r="L17" s="838"/>
    </row>
  </sheetData>
  <sheetProtection sheet="1" objects="1" scenarios="1" formatCells="0" formatColumns="0" formatRows="0"/>
  <mergeCells count="1">
    <mergeCell ref="K4:K16"/>
  </mergeCell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tabColor rgb="FF7030A0"/>
  </sheetPr>
  <dimension ref="A1:AB370"/>
  <sheetViews>
    <sheetView showGridLines="0" zoomScale="80" zoomScaleNormal="80" workbookViewId="0">
      <pane ySplit="1" topLeftCell="A2" activePane="bottomLeft" state="frozen"/>
      <selection pane="bottomLeft"/>
    </sheetView>
  </sheetViews>
  <sheetFormatPr defaultColWidth="9.1796875" defaultRowHeight="11.4" x14ac:dyDescent="0.2"/>
  <cols>
    <col min="1" max="1" width="16.54296875" style="122" customWidth="1"/>
    <col min="2" max="2" width="15.36328125" style="122" customWidth="1"/>
    <col min="3" max="3" width="17.6328125" style="122" customWidth="1"/>
    <col min="4" max="4" width="12.36328125" style="22" bestFit="1" customWidth="1"/>
    <col min="5" max="5" width="6" style="122" customWidth="1"/>
    <col min="6" max="6" width="17.08984375" style="122" customWidth="1"/>
    <col min="7" max="7" width="3.6328125" style="122" customWidth="1"/>
    <col min="8" max="9" width="5.6328125" style="22" customWidth="1"/>
    <col min="10" max="10" width="12.6328125" style="136" customWidth="1"/>
    <col min="11" max="11" width="15.54296875" style="25" customWidth="1"/>
    <col min="12" max="15" width="9.1796875" style="25"/>
    <col min="16" max="16" width="12.6328125" style="122" customWidth="1"/>
    <col min="17" max="17" width="13.7265625" style="25" bestFit="1" customWidth="1"/>
    <col min="18" max="18" width="20.81640625" style="25" customWidth="1"/>
    <col min="19" max="21" width="9.1796875" style="25"/>
    <col min="22" max="22" width="12.6328125" style="25" customWidth="1"/>
    <col min="23" max="23" width="8.6328125" style="25" customWidth="1"/>
    <col min="24" max="24" width="18.26953125" style="25" customWidth="1"/>
    <col min="25" max="25" width="6.6328125" style="121" customWidth="1"/>
    <col min="26" max="26" width="9.7265625" style="22" customWidth="1"/>
    <col min="27" max="27" width="9.36328125" style="121" customWidth="1"/>
    <col min="28" max="28" width="8.6328125" style="25" customWidth="1"/>
    <col min="29" max="16384" width="9.1796875" style="25"/>
  </cols>
  <sheetData>
    <row r="1" spans="1:28" s="2" customFormat="1" ht="74.400000000000006" thickBot="1" x14ac:dyDescent="0.3">
      <c r="A1" s="1115" t="s">
        <v>29</v>
      </c>
      <c r="B1" s="1115" t="s">
        <v>30</v>
      </c>
      <c r="C1" s="1115" t="s">
        <v>31</v>
      </c>
      <c r="D1" s="1116" t="s">
        <v>32</v>
      </c>
      <c r="E1" s="1115" t="s">
        <v>33</v>
      </c>
      <c r="F1" s="1115" t="s">
        <v>36</v>
      </c>
      <c r="G1" s="1115" t="s">
        <v>37</v>
      </c>
      <c r="H1" s="1116" t="s">
        <v>34</v>
      </c>
      <c r="I1" s="1116" t="s">
        <v>35</v>
      </c>
      <c r="J1" s="134" t="s">
        <v>31</v>
      </c>
      <c r="K1" s="94" t="s">
        <v>38</v>
      </c>
      <c r="L1" s="94">
        <v>1</v>
      </c>
      <c r="M1" s="94">
        <v>2</v>
      </c>
      <c r="N1" s="94">
        <v>3</v>
      </c>
      <c r="O1" s="94" t="s">
        <v>39</v>
      </c>
      <c r="P1" s="110"/>
      <c r="Q1" s="96" t="s">
        <v>29</v>
      </c>
      <c r="R1" s="97" t="s">
        <v>872</v>
      </c>
      <c r="S1" s="98" t="s">
        <v>873</v>
      </c>
      <c r="T1" s="98" t="s">
        <v>874</v>
      </c>
      <c r="U1" s="99" t="s">
        <v>875</v>
      </c>
      <c r="V1" s="95"/>
      <c r="W1" s="129" t="s">
        <v>507</v>
      </c>
      <c r="X1" s="129" t="s">
        <v>31</v>
      </c>
      <c r="Y1" s="99" t="s">
        <v>687</v>
      </c>
      <c r="Z1" s="99" t="s">
        <v>33</v>
      </c>
      <c r="AA1" s="99" t="s">
        <v>667</v>
      </c>
      <c r="AB1" s="129" t="s">
        <v>962</v>
      </c>
    </row>
    <row r="2" spans="1:28" s="23" customFormat="1" ht="15" customHeight="1" x14ac:dyDescent="0.2">
      <c r="A2" s="417" t="s">
        <v>61</v>
      </c>
      <c r="B2" s="417" t="s">
        <v>63</v>
      </c>
      <c r="C2" s="417" t="s">
        <v>158</v>
      </c>
      <c r="D2" s="1111" t="s">
        <v>5</v>
      </c>
      <c r="E2" s="417">
        <v>1</v>
      </c>
      <c r="F2" s="100" t="str">
        <f t="shared" ref="F2:F65" si="0">CONCATENATE($B2,$E2)</f>
        <v>ACCESS-11</v>
      </c>
      <c r="G2" s="100">
        <f t="shared" ref="G2:G65" si="1">COUNTIF($F:$F,$F2)</f>
        <v>3</v>
      </c>
      <c r="H2" s="133" t="e">
        <f ca="1">INT(LEFT(
VLOOKUP($D2, INDIRECT("'"&amp;$A2&amp;"'!"&amp;"$D:$G"), 4,FALSE), 1)
)</f>
        <v>#VALUE!</v>
      </c>
      <c r="I2" s="133">
        <f t="shared" ref="I2:I65" ca="1" si="2">IFERROR(IF(H2&gt;2,1,0),0)</f>
        <v>0</v>
      </c>
      <c r="J2" s="135" t="s">
        <v>158</v>
      </c>
      <c r="K2" s="101" t="s">
        <v>61</v>
      </c>
      <c r="L2" s="794">
        <f ca="1">SUMIF($F:$F,CONCATENATE($K2,"-","?",L$1),$I:$I) /COUNTIF($F:$F,CONCATENATE($K2,"-","?",L$1))</f>
        <v>0</v>
      </c>
      <c r="M2" s="794">
        <f ca="1">SUMIF($F:$F,CONCATENATE($K2,"-","?",M$1),$I:$I) /COUNTIF($F:$F,CONCATENATE($K2,"-","?",M$1))</f>
        <v>0</v>
      </c>
      <c r="N2" s="794">
        <f ca="1">SUMIF($F:$F,CONCATENATE($K2,"-","?",N$1),$I:$I) /COUNTIF($F:$F,CONCATENATE($K2,"-","?",N$1))</f>
        <v>0</v>
      </c>
      <c r="O2" s="102">
        <f ca="1">MIN(O3:O5)</f>
        <v>0</v>
      </c>
      <c r="P2" s="110"/>
      <c r="Q2" s="104"/>
      <c r="R2" s="105"/>
      <c r="S2" s="95" t="str">
        <f>IF(VLOOKUP(S$1,Languages!$A:$D,1,TRUE)=S$1,VLOOKUP(S$1,Languages!$A:$D,Summary!$C$7,TRUE),NA())</f>
        <v>Kyberturvallisuuden kypsyystaso</v>
      </c>
      <c r="T2" s="95" t="str">
        <f>IF(VLOOKUP(T$1,Languages!$A:$D,1,TRUE)=T$1,VLOOKUP(T$1,Languages!$A:$D,Summary!$C$7,TRUE),NA())</f>
        <v>Nykytila</v>
      </c>
      <c r="U2" s="106" t="str">
        <f>IF(VLOOKUP(U$1,Languages!$A:$D,1,TRUE)=U$1,VLOOKUP(U$1,Languages!$A:$D,Summary!$C$7,TRUE),NA())</f>
        <v>Edellinen</v>
      </c>
      <c r="V2" s="92"/>
      <c r="W2" s="1117" t="str">
        <f ca="1">AB2&amp;"-"&amp;COUNTIF($AB$2:$AB2,$AB2)</f>
        <v>0-1-0-1</v>
      </c>
      <c r="X2" s="1118" t="s">
        <v>158</v>
      </c>
      <c r="Y2" s="1119">
        <f t="shared" ref="Y2:Y33" ca="1" si="3">VLOOKUP(LEFT($X2,LEN($X2)-1),$K:$O,5,FALSE)</f>
        <v>0</v>
      </c>
      <c r="Z2" s="1120">
        <v>1</v>
      </c>
      <c r="AA2" s="1119">
        <f t="shared" ref="AA2:AA65" ca="1" si="4">VLOOKUP(X2,C:I,7,FALSE)</f>
        <v>0</v>
      </c>
      <c r="AB2" s="1118" t="str">
        <f ca="1">Y2&amp;"-"&amp;Z2&amp;"-"&amp;AA2</f>
        <v>0-1-0</v>
      </c>
    </row>
    <row r="3" spans="1:28" s="2" customFormat="1" ht="15" customHeight="1" x14ac:dyDescent="0.2">
      <c r="A3" s="417" t="s">
        <v>61</v>
      </c>
      <c r="B3" s="417" t="s">
        <v>63</v>
      </c>
      <c r="C3" s="417" t="s">
        <v>160</v>
      </c>
      <c r="D3" s="1111" t="s">
        <v>7</v>
      </c>
      <c r="E3" s="417">
        <v>1</v>
      </c>
      <c r="F3" s="100" t="str">
        <f t="shared" si="0"/>
        <v>ACCESS-11</v>
      </c>
      <c r="G3" s="100">
        <f t="shared" si="1"/>
        <v>3</v>
      </c>
      <c r="H3" s="133" t="e">
        <f t="shared" ref="H3:H66" ca="1" si="5">INT(LEFT(
VLOOKUP($D3, INDIRECT("'"&amp;$A3&amp;"'!"&amp;"$D:$G"), 4,FALSE), 1)
)</f>
        <v>#VALUE!</v>
      </c>
      <c r="I3" s="133">
        <f t="shared" ca="1" si="2"/>
        <v>0</v>
      </c>
      <c r="J3" s="134" t="s">
        <v>160</v>
      </c>
      <c r="K3" s="107" t="s">
        <v>63</v>
      </c>
      <c r="L3" s="21">
        <f ca="1">SUMIF($F:$F,CONCATENATE($K3,L$1),$I:$I) / VLOOKUP(CONCATENATE($K3,L$1),$F:$G,2,FALSE)</f>
        <v>0</v>
      </c>
      <c r="M3" s="21">
        <f t="shared" ref="L3:N6" ca="1" si="6">SUMIF($F:$F,CONCATENATE($K3,M$1),$I:$I) / VLOOKUP(CONCATENATE($K3,M$1),$F:$G,2,FALSE)</f>
        <v>0</v>
      </c>
      <c r="N3" s="111">
        <v>1</v>
      </c>
      <c r="O3" s="108">
        <f ca="1">IF( AND($L3=1,$M3=1,$N3&gt;$O$61 ), 3,
    IF( AND($L3=1,$M3&gt;$O$61 ), 2,
      IF( $L3=1, 1, 0)
  )
) + N("MIL3 tarkistus 1. rivillä, MIL2 tarkistus 2. rivillä, ja lopuksi MIL1 tarkistus.")</f>
        <v>0</v>
      </c>
      <c r="P3" s="110"/>
      <c r="Q3" s="109" t="s">
        <v>57</v>
      </c>
      <c r="R3" s="128" t="str">
        <f>Parameters!B78</f>
        <v>Kriittiset
palvelut</v>
      </c>
      <c r="S3" s="103">
        <f ca="1">VLOOKUP($Q3,$K$1:$O$58,5,FALSE)</f>
        <v>0</v>
      </c>
      <c r="T3" s="95">
        <f>VLOOKUP(Data!$Q3,Table2[#All],2,FALSE)</f>
        <v>0</v>
      </c>
      <c r="U3" s="106">
        <f>VLOOKUP(Data!$Q3,Table4[#All],2,FALSE)</f>
        <v>0</v>
      </c>
      <c r="W3" s="1121" t="str">
        <f ca="1">AB3&amp;"-"&amp;COUNTIF($AB$2:$AB3,$AB3)</f>
        <v>0-1-0-2</v>
      </c>
      <c r="X3" s="1122" t="s">
        <v>160</v>
      </c>
      <c r="Y3" s="1123">
        <f t="shared" ca="1" si="3"/>
        <v>0</v>
      </c>
      <c r="Z3" s="1124">
        <v>1</v>
      </c>
      <c r="AA3" s="1123">
        <f t="shared" ca="1" si="4"/>
        <v>0</v>
      </c>
      <c r="AB3" s="1125" t="str">
        <f t="shared" ref="AB3:AB66" ca="1" si="7">Y3&amp;"-"&amp;Z3&amp;"-"&amp;AA3</f>
        <v>0-1-0</v>
      </c>
    </row>
    <row r="4" spans="1:28" s="2" customFormat="1" ht="15" customHeight="1" x14ac:dyDescent="0.2">
      <c r="A4" s="417" t="s">
        <v>61</v>
      </c>
      <c r="B4" s="417" t="s">
        <v>63</v>
      </c>
      <c r="C4" s="417" t="s">
        <v>161</v>
      </c>
      <c r="D4" s="1111" t="s">
        <v>8</v>
      </c>
      <c r="E4" s="417">
        <v>1</v>
      </c>
      <c r="F4" s="100" t="str">
        <f t="shared" si="0"/>
        <v>ACCESS-11</v>
      </c>
      <c r="G4" s="100">
        <f t="shared" si="1"/>
        <v>3</v>
      </c>
      <c r="H4" s="133" t="e">
        <f t="shared" ca="1" si="5"/>
        <v>#VALUE!</v>
      </c>
      <c r="I4" s="133">
        <f t="shared" ca="1" si="2"/>
        <v>0</v>
      </c>
      <c r="J4" s="134" t="s">
        <v>161</v>
      </c>
      <c r="K4" s="107" t="s">
        <v>65</v>
      </c>
      <c r="L4" s="21">
        <f ca="1">SUMIF($F:$F,CONCATENATE($K4,L$1),$I:$I) / VLOOKUP(CONCATENATE($K4,L$1),$F:$G,2,FALSE)</f>
        <v>0</v>
      </c>
      <c r="M4" s="21">
        <f t="shared" ca="1" si="6"/>
        <v>0</v>
      </c>
      <c r="N4" s="21">
        <f t="shared" ca="1" si="6"/>
        <v>0</v>
      </c>
      <c r="O4" s="108">
        <f ca="1">IF( AND($L4=1,$M4=1,$N4&gt;$O$61 ), 3,
    IF( AND($L4=1,$M4&gt;$O$61 ), 2,
      IF( $L4=1, 1, 0)
  )
) + N("MIL3 tarkistus 1. rivillä, MIL2 tarkistus 2. rivillä, ja lopuksi MIL1 tarkistus.")</f>
        <v>0</v>
      </c>
      <c r="P4" s="110"/>
      <c r="Q4" s="109" t="s">
        <v>48</v>
      </c>
      <c r="R4" s="128" t="str">
        <f>Parameters!B79</f>
        <v>Omaisuuden
hallinta</v>
      </c>
      <c r="S4" s="103">
        <f t="shared" ref="S4:S13" ca="1" si="8">VLOOKUP($Q4,$K$1:$O$58,5,FALSE)</f>
        <v>0</v>
      </c>
      <c r="T4" s="95">
        <f>VLOOKUP(Data!$Q4,Table2[#All],2,FALSE)</f>
        <v>0</v>
      </c>
      <c r="U4" s="106">
        <f>VLOOKUP(Data!$Q4,Table4[#All],2,FALSE)</f>
        <v>0</v>
      </c>
      <c r="W4" s="1121" t="str">
        <f ca="1">AB4&amp;"-"&amp;COUNTIF($AB$2:$AB4,$AB4)</f>
        <v>0-1-0-3</v>
      </c>
      <c r="X4" s="1122" t="s">
        <v>161</v>
      </c>
      <c r="Y4" s="1123">
        <f t="shared" ca="1" si="3"/>
        <v>0</v>
      </c>
      <c r="Z4" s="1124">
        <v>1</v>
      </c>
      <c r="AA4" s="1123">
        <f t="shared" ca="1" si="4"/>
        <v>0</v>
      </c>
      <c r="AB4" s="1125" t="str">
        <f t="shared" ca="1" si="7"/>
        <v>0-1-0</v>
      </c>
    </row>
    <row r="5" spans="1:28" s="2" customFormat="1" ht="15" customHeight="1" x14ac:dyDescent="0.2">
      <c r="A5" s="417" t="s">
        <v>61</v>
      </c>
      <c r="B5" s="417" t="s">
        <v>63</v>
      </c>
      <c r="C5" s="417" t="s">
        <v>162</v>
      </c>
      <c r="D5" s="1111" t="s">
        <v>9</v>
      </c>
      <c r="E5" s="417">
        <v>2</v>
      </c>
      <c r="F5" s="100" t="str">
        <f t="shared" si="0"/>
        <v>ACCESS-12</v>
      </c>
      <c r="G5" s="100">
        <f t="shared" si="1"/>
        <v>3</v>
      </c>
      <c r="H5" s="133" t="e">
        <f t="shared" ca="1" si="5"/>
        <v>#VALUE!</v>
      </c>
      <c r="I5" s="133">
        <f t="shared" ca="1" si="2"/>
        <v>0</v>
      </c>
      <c r="J5" s="134" t="s">
        <v>162</v>
      </c>
      <c r="K5" s="107" t="s">
        <v>68</v>
      </c>
      <c r="L5" s="21">
        <f t="shared" ca="1" si="6"/>
        <v>0</v>
      </c>
      <c r="M5" s="21">
        <f t="shared" ca="1" si="6"/>
        <v>0</v>
      </c>
      <c r="N5" s="21">
        <f t="shared" ca="1" si="6"/>
        <v>0</v>
      </c>
      <c r="O5" s="108">
        <f ca="1">IF( AND($L5=1,$M5=1,$N5&gt;$O$61 ), 3,
    IF( AND($L5=1,$M5&gt;$O$61 ), 2,
      IF( $L5=1, 1, 0)
  )
) + N("MIL3 tarkistus 1. rivillä, MIL2 tarkistus 2. rivillä, ja lopuksi MIL1 tarkistus.")</f>
        <v>0</v>
      </c>
      <c r="P5" s="110"/>
      <c r="Q5" s="109" t="s">
        <v>66</v>
      </c>
      <c r="R5" s="128" t="str">
        <f>Parameters!B80</f>
        <v>Uhkat ja
haavoittuvuudet</v>
      </c>
      <c r="S5" s="103">
        <f t="shared" ca="1" si="8"/>
        <v>0</v>
      </c>
      <c r="T5" s="95">
        <f>VLOOKUP(Data!$Q5,Table2[#All],2,FALSE)</f>
        <v>0</v>
      </c>
      <c r="U5" s="106">
        <f>VLOOKUP(Data!$Q5,Table4[#All],2,FALSE)</f>
        <v>0</v>
      </c>
      <c r="W5" s="1121" t="str">
        <f ca="1">AB5&amp;"-"&amp;COUNTIF($AB$2:$AB5,$AB5)</f>
        <v>0-2-0-1</v>
      </c>
      <c r="X5" s="1122" t="s">
        <v>162</v>
      </c>
      <c r="Y5" s="1123">
        <f t="shared" ca="1" si="3"/>
        <v>0</v>
      </c>
      <c r="Z5" s="1124">
        <v>2</v>
      </c>
      <c r="AA5" s="1123">
        <f t="shared" ca="1" si="4"/>
        <v>0</v>
      </c>
      <c r="AB5" s="1125" t="str">
        <f t="shared" ca="1" si="7"/>
        <v>0-2-0</v>
      </c>
    </row>
    <row r="6" spans="1:28" s="2" customFormat="1" ht="15" customHeight="1" x14ac:dyDescent="0.2">
      <c r="A6" s="417" t="s">
        <v>61</v>
      </c>
      <c r="B6" s="417" t="s">
        <v>63</v>
      </c>
      <c r="C6" s="417" t="s">
        <v>163</v>
      </c>
      <c r="D6" s="1111" t="s">
        <v>10</v>
      </c>
      <c r="E6" s="417">
        <v>2</v>
      </c>
      <c r="F6" s="100" t="str">
        <f t="shared" si="0"/>
        <v>ACCESS-12</v>
      </c>
      <c r="G6" s="100">
        <f t="shared" si="1"/>
        <v>3</v>
      </c>
      <c r="H6" s="133" t="e">
        <f t="shared" ca="1" si="5"/>
        <v>#VALUE!</v>
      </c>
      <c r="I6" s="133">
        <f t="shared" ca="1" si="2"/>
        <v>0</v>
      </c>
      <c r="J6" s="134" t="s">
        <v>163</v>
      </c>
      <c r="K6" s="107" t="s">
        <v>1103</v>
      </c>
      <c r="L6" s="111">
        <v>1</v>
      </c>
      <c r="M6" s="21">
        <f t="shared" ca="1" si="6"/>
        <v>0</v>
      </c>
      <c r="N6" s="21">
        <f t="shared" ca="1" si="6"/>
        <v>0</v>
      </c>
      <c r="O6" s="108">
        <f ca="1">IF( AND($L6=1,$M6=1,$N6&gt;$O$61 ), 3,
    IF( AND($L6=1,$M6&gt;$O$61 ), 2,
      IF( $L6=1, 1, 0)
  )
) + N("MIL3 tarkistus 1. rivillä, MIL2 tarkistus 2. rivillä, ja lopuksi MIL1 tarkistus.")</f>
        <v>1</v>
      </c>
      <c r="P6" s="608"/>
      <c r="Q6" s="109" t="s">
        <v>0</v>
      </c>
      <c r="R6" s="128" t="str">
        <f>Parameters!B81</f>
        <v>Riskien
hallinta</v>
      </c>
      <c r="S6" s="103">
        <f t="shared" ca="1" si="8"/>
        <v>0</v>
      </c>
      <c r="T6" s="95">
        <f>VLOOKUP(Data!$Q6,Table2[#All],2,FALSE)</f>
        <v>0</v>
      </c>
      <c r="U6" s="106">
        <f>VLOOKUP(Data!$Q6,Table4[#All],2,FALSE)</f>
        <v>0</v>
      </c>
      <c r="W6" s="1121" t="str">
        <f ca="1">AB6&amp;"-"&amp;COUNTIF($AB$2:$AB6,$AB6)</f>
        <v>0-2-0-2</v>
      </c>
      <c r="X6" s="1122" t="s">
        <v>163</v>
      </c>
      <c r="Y6" s="1123">
        <f t="shared" ca="1" si="3"/>
        <v>0</v>
      </c>
      <c r="Z6" s="1124">
        <v>2</v>
      </c>
      <c r="AA6" s="1123">
        <f t="shared" ca="1" si="4"/>
        <v>0</v>
      </c>
      <c r="AB6" s="1125" t="str">
        <f t="shared" ca="1" si="7"/>
        <v>0-2-0</v>
      </c>
    </row>
    <row r="7" spans="1:28" ht="15" customHeight="1" x14ac:dyDescent="0.2">
      <c r="A7" s="417" t="s">
        <v>61</v>
      </c>
      <c r="B7" s="417" t="s">
        <v>63</v>
      </c>
      <c r="C7" s="417" t="s">
        <v>164</v>
      </c>
      <c r="D7" s="1111" t="s">
        <v>11</v>
      </c>
      <c r="E7" s="417">
        <v>2</v>
      </c>
      <c r="F7" s="100" t="str">
        <f t="shared" si="0"/>
        <v>ACCESS-12</v>
      </c>
      <c r="G7" s="100">
        <f t="shared" si="1"/>
        <v>3</v>
      </c>
      <c r="H7" s="133" t="e">
        <f t="shared" ca="1" si="5"/>
        <v>#VALUE!</v>
      </c>
      <c r="I7" s="133">
        <f t="shared" ca="1" si="2"/>
        <v>0</v>
      </c>
      <c r="J7" s="136" t="s">
        <v>164</v>
      </c>
      <c r="K7" s="101" t="s">
        <v>80</v>
      </c>
      <c r="L7" s="794">
        <f ca="1">SUMIF($F:$F,CONCATENATE($K7,"-","?",L$1),$I:$I) /COUNTIF($F:$F,CONCATENATE($K7,"-","?",L$1))</f>
        <v>0</v>
      </c>
      <c r="M7" s="794">
        <f ca="1">SUMIF($F:$F,CONCATENATE($K7,"-","?",M$1),$I:$I) /COUNTIF($F:$F,CONCATENATE($K7,"-","?",M$1))</f>
        <v>0</v>
      </c>
      <c r="N7" s="794">
        <f ca="1">SUMIF($F:$F,CONCATENATE($K7,"-","?",N$1),$I:$I) /COUNTIF($F:$F,CONCATENATE($K7,"-","?",N$1))</f>
        <v>0</v>
      </c>
      <c r="O7" s="102">
        <f ca="1">MIN(O8:O13)</f>
        <v>0</v>
      </c>
      <c r="P7" s="110"/>
      <c r="Q7" s="109" t="s">
        <v>61</v>
      </c>
      <c r="R7" s="128" t="str">
        <f>Parameters!B82</f>
        <v>Pääsyn
hallinta</v>
      </c>
      <c r="S7" s="103">
        <f t="shared" ca="1" si="8"/>
        <v>0</v>
      </c>
      <c r="T7" s="95">
        <f>VLOOKUP(Data!$Q7,Table2[#All],2,FALSE)</f>
        <v>0</v>
      </c>
      <c r="U7" s="106">
        <f>VLOOKUP(Data!$Q7,Table4[#All],2,FALSE)</f>
        <v>0</v>
      </c>
      <c r="W7" s="1121" t="str">
        <f ca="1">AB7&amp;"-"&amp;COUNTIF($AB$2:$AB7,$AB7)</f>
        <v>0-2-0-3</v>
      </c>
      <c r="X7" s="1121" t="s">
        <v>164</v>
      </c>
      <c r="Y7" s="1123">
        <f t="shared" ca="1" si="3"/>
        <v>0</v>
      </c>
      <c r="Z7" s="1126">
        <v>2</v>
      </c>
      <c r="AA7" s="1123">
        <f t="shared" ca="1" si="4"/>
        <v>0</v>
      </c>
      <c r="AB7" s="1125" t="str">
        <f t="shared" ca="1" si="7"/>
        <v>0-2-0</v>
      </c>
    </row>
    <row r="8" spans="1:28" ht="15" customHeight="1" x14ac:dyDescent="0.2">
      <c r="A8" s="417" t="s">
        <v>61</v>
      </c>
      <c r="B8" s="417" t="s">
        <v>65</v>
      </c>
      <c r="C8" s="417" t="s">
        <v>166</v>
      </c>
      <c r="D8" s="1111" t="s">
        <v>17</v>
      </c>
      <c r="E8" s="417">
        <v>1</v>
      </c>
      <c r="F8" s="100" t="str">
        <f t="shared" si="0"/>
        <v>ACCESS-21</v>
      </c>
      <c r="G8" s="100">
        <f t="shared" si="1"/>
        <v>2</v>
      </c>
      <c r="H8" s="133" t="e">
        <f t="shared" ca="1" si="5"/>
        <v>#VALUE!</v>
      </c>
      <c r="I8" s="133">
        <f t="shared" ca="1" si="2"/>
        <v>0</v>
      </c>
      <c r="J8" s="136" t="s">
        <v>165</v>
      </c>
      <c r="K8" s="107" t="s">
        <v>121</v>
      </c>
      <c r="L8" s="21">
        <f t="shared" ref="L8:N12" ca="1" si="9">SUMIF($F:$F,CONCATENATE($K8,L$1),$I:$I) / VLOOKUP(CONCATENATE($K8,L$1),$F:$G,2,FALSE)</f>
        <v>0</v>
      </c>
      <c r="M8" s="21">
        <f t="shared" ca="1" si="9"/>
        <v>0</v>
      </c>
      <c r="N8" s="21">
        <f t="shared" ca="1" si="9"/>
        <v>0</v>
      </c>
      <c r="O8" s="108">
        <f t="shared" ref="O8:O13" ca="1" si="10">IF( AND($L8=1,$M8=1,$N8&gt;$O$61 ), 3,
    IF( AND($L8=1,$M8&gt;$O$61 ), 2,
      IF( $L8=1, 1, 0)
  )
) + N("MIL3 tarkistus 1. rivillä, MIL2 tarkistus 2. rivillä, ja lopuksi MIL1 tarkistus.")</f>
        <v>0</v>
      </c>
      <c r="P8" s="110"/>
      <c r="Q8" s="109" t="s">
        <v>69</v>
      </c>
      <c r="R8" s="128" t="str">
        <f>Parameters!B83</f>
        <v>Tilanne
kuva</v>
      </c>
      <c r="S8" s="103">
        <f t="shared" ca="1" si="8"/>
        <v>0</v>
      </c>
      <c r="T8" s="95">
        <f>VLOOKUP(Data!$Q8,Table2[#All],2,FALSE)</f>
        <v>0</v>
      </c>
      <c r="U8" s="106">
        <f>VLOOKUP(Data!$Q8,Table4[#All],2,FALSE)</f>
        <v>0</v>
      </c>
      <c r="W8" s="1121" t="str">
        <f ca="1">AB8&amp;"-"&amp;COUNTIF($AB$2:$AB8,$AB8)</f>
        <v>0-1-0-4</v>
      </c>
      <c r="X8" s="1121" t="s">
        <v>166</v>
      </c>
      <c r="Y8" s="1123">
        <f t="shared" ca="1" si="3"/>
        <v>0</v>
      </c>
      <c r="Z8" s="1126">
        <v>1</v>
      </c>
      <c r="AA8" s="1123">
        <f t="shared" ca="1" si="4"/>
        <v>0</v>
      </c>
      <c r="AB8" s="1125" t="str">
        <f t="shared" ca="1" si="7"/>
        <v>0-1-0</v>
      </c>
    </row>
    <row r="9" spans="1:28" ht="15" customHeight="1" x14ac:dyDescent="0.2">
      <c r="A9" s="417" t="s">
        <v>61</v>
      </c>
      <c r="B9" s="417" t="s">
        <v>65</v>
      </c>
      <c r="C9" s="417" t="s">
        <v>167</v>
      </c>
      <c r="D9" s="1111" t="s">
        <v>18</v>
      </c>
      <c r="E9" s="417">
        <v>1</v>
      </c>
      <c r="F9" s="100" t="str">
        <f t="shared" si="0"/>
        <v>ACCESS-21</v>
      </c>
      <c r="G9" s="100">
        <f t="shared" si="1"/>
        <v>2</v>
      </c>
      <c r="H9" s="133" t="e">
        <f t="shared" ca="1" si="5"/>
        <v>#VALUE!</v>
      </c>
      <c r="I9" s="133">
        <f t="shared" ca="1" si="2"/>
        <v>0</v>
      </c>
      <c r="J9" s="136" t="s">
        <v>166</v>
      </c>
      <c r="K9" s="107" t="s">
        <v>124</v>
      </c>
      <c r="L9" s="21">
        <f t="shared" ca="1" si="9"/>
        <v>0</v>
      </c>
      <c r="M9" s="21">
        <f t="shared" ca="1" si="9"/>
        <v>0</v>
      </c>
      <c r="N9" s="21">
        <f t="shared" ca="1" si="9"/>
        <v>0</v>
      </c>
      <c r="O9" s="108">
        <f t="shared" ca="1" si="10"/>
        <v>0</v>
      </c>
      <c r="P9" s="110"/>
      <c r="Q9" s="109" t="s">
        <v>71</v>
      </c>
      <c r="R9" s="128" t="str">
        <f>Parameters!B84</f>
        <v>Tapahtumat
ja häiriöt</v>
      </c>
      <c r="S9" s="103">
        <f t="shared" ca="1" si="8"/>
        <v>0</v>
      </c>
      <c r="T9" s="95">
        <f>VLOOKUP(Data!$Q9,Table2[#All],2,FALSE)</f>
        <v>0</v>
      </c>
      <c r="U9" s="106">
        <f>VLOOKUP(Data!$Q9,Table4[#All],2,FALSE)</f>
        <v>0</v>
      </c>
      <c r="W9" s="1121" t="str">
        <f ca="1">AB9&amp;"-"&amp;COUNTIF($AB$2:$AB9,$AB9)</f>
        <v>0-1-0-5</v>
      </c>
      <c r="X9" s="1121" t="s">
        <v>167</v>
      </c>
      <c r="Y9" s="1123">
        <f t="shared" ca="1" si="3"/>
        <v>0</v>
      </c>
      <c r="Z9" s="1126">
        <v>1</v>
      </c>
      <c r="AA9" s="1123">
        <f t="shared" ca="1" si="4"/>
        <v>0</v>
      </c>
      <c r="AB9" s="1125" t="str">
        <f t="shared" ca="1" si="7"/>
        <v>0-1-0</v>
      </c>
    </row>
    <row r="10" spans="1:28" ht="15" customHeight="1" x14ac:dyDescent="0.2">
      <c r="A10" s="417" t="s">
        <v>61</v>
      </c>
      <c r="B10" s="417" t="s">
        <v>65</v>
      </c>
      <c r="C10" s="417" t="s">
        <v>168</v>
      </c>
      <c r="D10" s="1111" t="s">
        <v>19</v>
      </c>
      <c r="E10" s="417">
        <v>2</v>
      </c>
      <c r="F10" s="100" t="str">
        <f t="shared" si="0"/>
        <v>ACCESS-22</v>
      </c>
      <c r="G10" s="100">
        <f t="shared" si="1"/>
        <v>5</v>
      </c>
      <c r="H10" s="133" t="e">
        <f t="shared" ca="1" si="5"/>
        <v>#VALUE!</v>
      </c>
      <c r="I10" s="133">
        <f t="shared" ca="1" si="2"/>
        <v>0</v>
      </c>
      <c r="J10" s="136" t="s">
        <v>167</v>
      </c>
      <c r="K10" s="107" t="s">
        <v>127</v>
      </c>
      <c r="L10" s="21">
        <f t="shared" ca="1" si="9"/>
        <v>0</v>
      </c>
      <c r="M10" s="21">
        <f t="shared" ca="1" si="9"/>
        <v>0</v>
      </c>
      <c r="N10" s="21">
        <f t="shared" ca="1" si="9"/>
        <v>0</v>
      </c>
      <c r="O10" s="108">
        <f t="shared" ca="1" si="10"/>
        <v>0</v>
      </c>
      <c r="P10" s="110"/>
      <c r="Q10" s="109" t="s">
        <v>1145</v>
      </c>
      <c r="R10" s="128" t="str">
        <f>Parameters!B85</f>
        <v>Kolmannet
osapuolet</v>
      </c>
      <c r="S10" s="103">
        <f t="shared" ca="1" si="8"/>
        <v>0</v>
      </c>
      <c r="T10" s="95">
        <f>VLOOKUP(Data!$Q10,Table2[#All],2,FALSE)</f>
        <v>0</v>
      </c>
      <c r="U10" s="106">
        <f>VLOOKUP(Data!$Q10,Table4[#All],2,FALSE)</f>
        <v>0</v>
      </c>
      <c r="W10" s="1121" t="str">
        <f ca="1">AB10&amp;"-"&amp;COUNTIF($AB$2:$AB10,$AB10)</f>
        <v>0-2-0-4</v>
      </c>
      <c r="X10" s="1121" t="s">
        <v>168</v>
      </c>
      <c r="Y10" s="1123">
        <f t="shared" ca="1" si="3"/>
        <v>0</v>
      </c>
      <c r="Z10" s="1126">
        <v>2</v>
      </c>
      <c r="AA10" s="1123">
        <f t="shared" ca="1" si="4"/>
        <v>0</v>
      </c>
      <c r="AB10" s="1125" t="str">
        <f t="shared" ca="1" si="7"/>
        <v>0-2-0</v>
      </c>
    </row>
    <row r="11" spans="1:28" ht="15" customHeight="1" x14ac:dyDescent="0.2">
      <c r="A11" s="417" t="s">
        <v>61</v>
      </c>
      <c r="B11" s="417" t="s">
        <v>65</v>
      </c>
      <c r="C11" s="417" t="s">
        <v>169</v>
      </c>
      <c r="D11" s="1111" t="s">
        <v>20</v>
      </c>
      <c r="E11" s="417">
        <v>2</v>
      </c>
      <c r="F11" s="100" t="str">
        <f t="shared" si="0"/>
        <v>ACCESS-22</v>
      </c>
      <c r="G11" s="100">
        <f t="shared" si="1"/>
        <v>5</v>
      </c>
      <c r="H11" s="133" t="e">
        <f t="shared" ca="1" si="5"/>
        <v>#VALUE!</v>
      </c>
      <c r="I11" s="133">
        <f t="shared" ca="1" si="2"/>
        <v>0</v>
      </c>
      <c r="J11" s="136" t="s">
        <v>168</v>
      </c>
      <c r="K11" s="107" t="s">
        <v>130</v>
      </c>
      <c r="L11" s="111">
        <v>1</v>
      </c>
      <c r="M11" s="21">
        <f t="shared" ref="M11:N13" ca="1" si="11">SUMIF($F:$F,CONCATENATE($K11,M$1),$I:$I) / VLOOKUP(CONCATENATE($K11,M$1),$F:$G,2,FALSE)</f>
        <v>0</v>
      </c>
      <c r="N11" s="21">
        <f t="shared" ca="1" si="11"/>
        <v>0</v>
      </c>
      <c r="O11" s="108">
        <f t="shared" ca="1" si="10"/>
        <v>1</v>
      </c>
      <c r="P11" s="110"/>
      <c r="Q11" s="109" t="s">
        <v>77</v>
      </c>
      <c r="R11" s="128" t="str">
        <f>Parameters!B86</f>
        <v>Henkilöstön
hallinta</v>
      </c>
      <c r="S11" s="103">
        <f t="shared" ca="1" si="8"/>
        <v>0</v>
      </c>
      <c r="T11" s="95">
        <f>VLOOKUP(Data!$Q11,Table2[#All],2,FALSE)</f>
        <v>0</v>
      </c>
      <c r="U11" s="106">
        <f>VLOOKUP(Data!$Q11,Table4[#All],2,FALSE)</f>
        <v>0</v>
      </c>
      <c r="W11" s="1121" t="str">
        <f ca="1">AB11&amp;"-"&amp;COUNTIF($AB$2:$AB11,$AB11)</f>
        <v>0-2-0-5</v>
      </c>
      <c r="X11" s="1121" t="s">
        <v>169</v>
      </c>
      <c r="Y11" s="1123">
        <f t="shared" ca="1" si="3"/>
        <v>0</v>
      </c>
      <c r="Z11" s="1126">
        <v>2</v>
      </c>
      <c r="AA11" s="1123">
        <f t="shared" ca="1" si="4"/>
        <v>0</v>
      </c>
      <c r="AB11" s="1125" t="str">
        <f t="shared" ca="1" si="7"/>
        <v>0-2-0</v>
      </c>
    </row>
    <row r="12" spans="1:28" ht="15" customHeight="1" x14ac:dyDescent="0.2">
      <c r="A12" s="417" t="s">
        <v>61</v>
      </c>
      <c r="B12" s="417" t="s">
        <v>65</v>
      </c>
      <c r="C12" s="417" t="s">
        <v>170</v>
      </c>
      <c r="D12" s="1111" t="s">
        <v>21</v>
      </c>
      <c r="E12" s="417">
        <v>2</v>
      </c>
      <c r="F12" s="100" t="str">
        <f t="shared" si="0"/>
        <v>ACCESS-22</v>
      </c>
      <c r="G12" s="100">
        <f t="shared" si="1"/>
        <v>5</v>
      </c>
      <c r="H12" s="133" t="e">
        <f t="shared" ca="1" si="5"/>
        <v>#VALUE!</v>
      </c>
      <c r="I12" s="133">
        <f t="shared" ca="1" si="2"/>
        <v>0</v>
      </c>
      <c r="J12" s="136" t="s">
        <v>169</v>
      </c>
      <c r="K12" s="107" t="s">
        <v>133</v>
      </c>
      <c r="L12" s="21">
        <f t="shared" ca="1" si="9"/>
        <v>0</v>
      </c>
      <c r="M12" s="21">
        <f t="shared" ca="1" si="11"/>
        <v>0</v>
      </c>
      <c r="N12" s="21">
        <f t="shared" ca="1" si="11"/>
        <v>0</v>
      </c>
      <c r="O12" s="108">
        <f t="shared" ca="1" si="10"/>
        <v>0</v>
      </c>
      <c r="P12" s="110"/>
      <c r="Q12" s="109" t="s">
        <v>80</v>
      </c>
      <c r="R12" s="128" t="str">
        <f>Parameters!B87</f>
        <v>Kyber
arkkitehtuuri</v>
      </c>
      <c r="S12" s="103">
        <f t="shared" ca="1" si="8"/>
        <v>0</v>
      </c>
      <c r="T12" s="95">
        <f>VLOOKUP(Data!$Q12,Table2[#All],2,FALSE)</f>
        <v>0</v>
      </c>
      <c r="U12" s="106">
        <f>VLOOKUP(Data!$Q12,Table4[#All],2,FALSE)</f>
        <v>0</v>
      </c>
      <c r="W12" s="1121" t="str">
        <f ca="1">AB12&amp;"-"&amp;COUNTIF($AB$2:$AB12,$AB12)</f>
        <v>0-2-0-6</v>
      </c>
      <c r="X12" s="1121" t="s">
        <v>170</v>
      </c>
      <c r="Y12" s="1123">
        <f t="shared" ca="1" si="3"/>
        <v>0</v>
      </c>
      <c r="Z12" s="1126">
        <v>2</v>
      </c>
      <c r="AA12" s="1123">
        <f t="shared" ca="1" si="4"/>
        <v>0</v>
      </c>
      <c r="AB12" s="1125" t="str">
        <f t="shared" ca="1" si="7"/>
        <v>0-2-0</v>
      </c>
    </row>
    <row r="13" spans="1:28" ht="15" customHeight="1" x14ac:dyDescent="0.2">
      <c r="A13" s="417" t="s">
        <v>61</v>
      </c>
      <c r="B13" s="417" t="s">
        <v>65</v>
      </c>
      <c r="C13" s="417" t="s">
        <v>171</v>
      </c>
      <c r="D13" s="1111" t="s">
        <v>109</v>
      </c>
      <c r="E13" s="417">
        <v>2</v>
      </c>
      <c r="F13" s="100" t="str">
        <f t="shared" si="0"/>
        <v>ACCESS-22</v>
      </c>
      <c r="G13" s="100">
        <f t="shared" si="1"/>
        <v>5</v>
      </c>
      <c r="H13" s="133" t="e">
        <f t="shared" ca="1" si="5"/>
        <v>#VALUE!</v>
      </c>
      <c r="I13" s="133">
        <f t="shared" ca="1" si="2"/>
        <v>0</v>
      </c>
      <c r="J13" s="136" t="s">
        <v>170</v>
      </c>
      <c r="K13" s="107" t="s">
        <v>1114</v>
      </c>
      <c r="L13" s="111">
        <v>1</v>
      </c>
      <c r="M13" s="21">
        <f t="shared" ca="1" si="11"/>
        <v>0</v>
      </c>
      <c r="N13" s="21">
        <f t="shared" ca="1" si="11"/>
        <v>0</v>
      </c>
      <c r="O13" s="108">
        <f t="shared" ca="1" si="10"/>
        <v>1</v>
      </c>
      <c r="P13" s="110"/>
      <c r="Q13" s="112" t="s">
        <v>82</v>
      </c>
      <c r="R13" s="128" t="str">
        <f>Parameters!B88</f>
        <v>Kyberturv.
hallinta</v>
      </c>
      <c r="S13" s="113">
        <f t="shared" ca="1" si="8"/>
        <v>0</v>
      </c>
      <c r="T13" s="114">
        <f>VLOOKUP(Data!$Q13,Table2[#All],2,FALSE)</f>
        <v>0</v>
      </c>
      <c r="U13" s="115">
        <f>VLOOKUP(Data!$Q13,Table4[#All],2,FALSE)</f>
        <v>0</v>
      </c>
      <c r="W13" s="1121" t="str">
        <f ca="1">AB13&amp;"-"&amp;COUNTIF($AB$2:$AB13,$AB13)</f>
        <v>0-2-0-7</v>
      </c>
      <c r="X13" s="1121" t="s">
        <v>171</v>
      </c>
      <c r="Y13" s="1123">
        <f t="shared" ca="1" si="3"/>
        <v>0</v>
      </c>
      <c r="Z13" s="1126">
        <v>2</v>
      </c>
      <c r="AA13" s="1123">
        <f t="shared" ca="1" si="4"/>
        <v>0</v>
      </c>
      <c r="AB13" s="1125" t="str">
        <f t="shared" ca="1" si="7"/>
        <v>0-2-0</v>
      </c>
    </row>
    <row r="14" spans="1:28" ht="15" customHeight="1" thickBot="1" x14ac:dyDescent="0.25">
      <c r="A14" s="417" t="s">
        <v>61</v>
      </c>
      <c r="B14" s="417" t="s">
        <v>65</v>
      </c>
      <c r="C14" s="417" t="s">
        <v>172</v>
      </c>
      <c r="D14" s="1111" t="s">
        <v>173</v>
      </c>
      <c r="E14" s="417">
        <v>2</v>
      </c>
      <c r="F14" s="100" t="str">
        <f t="shared" si="0"/>
        <v>ACCESS-22</v>
      </c>
      <c r="G14" s="100">
        <f t="shared" si="1"/>
        <v>5</v>
      </c>
      <c r="H14" s="133" t="e">
        <f t="shared" ca="1" si="5"/>
        <v>#VALUE!</v>
      </c>
      <c r="I14" s="133">
        <f t="shared" ca="1" si="2"/>
        <v>0</v>
      </c>
      <c r="J14" s="136" t="s">
        <v>171</v>
      </c>
      <c r="K14" s="101" t="s">
        <v>48</v>
      </c>
      <c r="L14" s="794">
        <f ca="1">SUMIF($F:$F,CONCATENATE($K14,"-","?",L$1),$I:$I) /COUNTIF($F:$F,CONCATENATE($K14,"-","?",L$1))</f>
        <v>0</v>
      </c>
      <c r="M14" s="794">
        <f ca="1">SUMIF($F:$F,CONCATENATE($K14,"-","?",M$1),$I:$I) /COUNTIF($F:$F,CONCATENATE($K14,"-","?",M$1))</f>
        <v>0</v>
      </c>
      <c r="N14" s="794">
        <f ca="1">SUMIF($F:$F,CONCATENATE($K14,"-","?",N$1),$I:$I) /COUNTIF($F:$F,CONCATENATE($K14,"-","?",N$1))</f>
        <v>0</v>
      </c>
      <c r="O14" s="102">
        <f ca="1">MIN(O15:O19)</f>
        <v>0</v>
      </c>
      <c r="P14" s="110"/>
      <c r="Q14" s="95"/>
      <c r="R14" s="95"/>
      <c r="S14" s="95"/>
      <c r="T14" s="95"/>
      <c r="U14" s="95"/>
      <c r="V14" s="95"/>
      <c r="W14" s="1121" t="str">
        <f ca="1">AB14&amp;"-"&amp;COUNTIF($AB$2:$AB14,$AB14)</f>
        <v>0-2-0-8</v>
      </c>
      <c r="X14" s="1121" t="s">
        <v>172</v>
      </c>
      <c r="Y14" s="1123">
        <f t="shared" ca="1" si="3"/>
        <v>0</v>
      </c>
      <c r="Z14" s="1126">
        <v>2</v>
      </c>
      <c r="AA14" s="1123">
        <f t="shared" ca="1" si="4"/>
        <v>0</v>
      </c>
      <c r="AB14" s="1125" t="str">
        <f t="shared" ca="1" si="7"/>
        <v>0-2-0</v>
      </c>
    </row>
    <row r="15" spans="1:28" ht="15" customHeight="1" thickBot="1" x14ac:dyDescent="0.25">
      <c r="A15" s="417" t="s">
        <v>61</v>
      </c>
      <c r="B15" s="417" t="s">
        <v>65</v>
      </c>
      <c r="C15" s="417" t="s">
        <v>174</v>
      </c>
      <c r="D15" s="1111" t="s">
        <v>175</v>
      </c>
      <c r="E15" s="417">
        <v>3</v>
      </c>
      <c r="F15" s="100" t="str">
        <f t="shared" si="0"/>
        <v>ACCESS-23</v>
      </c>
      <c r="G15" s="100">
        <f t="shared" si="1"/>
        <v>2</v>
      </c>
      <c r="H15" s="133" t="e">
        <f t="shared" ca="1" si="5"/>
        <v>#VALUE!</v>
      </c>
      <c r="I15" s="133">
        <f t="shared" ca="1" si="2"/>
        <v>0</v>
      </c>
      <c r="J15" s="136" t="s">
        <v>172</v>
      </c>
      <c r="K15" s="107" t="s">
        <v>50</v>
      </c>
      <c r="L15" s="21">
        <f ca="1">SUMIF($F:$F,CONCATENATE($K15,L$1),$I:$I) / VLOOKUP(CONCATENATE($K15,L$1),$F:$G,2,FALSE)</f>
        <v>0</v>
      </c>
      <c r="M15" s="21">
        <f ca="1">SUMIF($F:$F,CONCATENATE($K15,M$1),$I:$I) / VLOOKUP(CONCATENATE($K15,M$1),$F:$G,2,FALSE)</f>
        <v>0</v>
      </c>
      <c r="N15" s="21">
        <f ca="1">SUMIF($F:$F,CONCATENATE($K15,N$1),$I:$I) / VLOOKUP(CONCATENATE($K15,N$1),$F:$G,2,FALSE)</f>
        <v>0</v>
      </c>
      <c r="O15" s="108">
        <f t="shared" ref="O15:O58" ca="1" si="12">IF( AND($L15=1,$M15=1,$N15&gt;$O$61 ), 3,
    IF( AND($L15=1,$M15&gt;$O$61 ), 2,
      IF( $L15=1, 1, 0)
  )
) + N("MIL3 tarkistus 1. rivillä, MIL2 tarkistus 2. rivillä, ja lopuksi MIL1 tarkistus.")</f>
        <v>0</v>
      </c>
      <c r="P15" s="110"/>
      <c r="Q15" s="116" t="s">
        <v>881</v>
      </c>
      <c r="R15" s="117" t="s">
        <v>882</v>
      </c>
      <c r="S15" s="98" t="s">
        <v>883</v>
      </c>
      <c r="T15" s="98" t="s">
        <v>884</v>
      </c>
      <c r="U15" s="99" t="s">
        <v>885</v>
      </c>
      <c r="V15" s="95"/>
      <c r="W15" s="1121" t="str">
        <f ca="1">AB15&amp;"-"&amp;COUNTIF($AB$2:$AB15,$AB15)</f>
        <v>0-3-0-1</v>
      </c>
      <c r="X15" s="1121" t="s">
        <v>174</v>
      </c>
      <c r="Y15" s="1123">
        <f t="shared" ca="1" si="3"/>
        <v>0</v>
      </c>
      <c r="Z15" s="1126">
        <v>3</v>
      </c>
      <c r="AA15" s="1123">
        <f t="shared" ca="1" si="4"/>
        <v>0</v>
      </c>
      <c r="AB15" s="1125" t="str">
        <f t="shared" ca="1" si="7"/>
        <v>0-3-0</v>
      </c>
    </row>
    <row r="16" spans="1:28" ht="15" customHeight="1" x14ac:dyDescent="0.2">
      <c r="A16" s="417" t="s">
        <v>61</v>
      </c>
      <c r="B16" s="417" t="s">
        <v>65</v>
      </c>
      <c r="C16" s="417" t="s">
        <v>1050</v>
      </c>
      <c r="D16" s="1111" t="s">
        <v>206</v>
      </c>
      <c r="E16" s="417">
        <v>3</v>
      </c>
      <c r="F16" s="100" t="str">
        <f t="shared" si="0"/>
        <v>ACCESS-23</v>
      </c>
      <c r="G16" s="100">
        <f t="shared" si="1"/>
        <v>2</v>
      </c>
      <c r="H16" s="133" t="e">
        <f t="shared" ca="1" si="5"/>
        <v>#VALUE!</v>
      </c>
      <c r="I16" s="133">
        <f t="shared" ca="1" si="2"/>
        <v>0</v>
      </c>
      <c r="J16" s="136" t="s">
        <v>174</v>
      </c>
      <c r="K16" s="107" t="s">
        <v>52</v>
      </c>
      <c r="L16" s="21">
        <f t="shared" ref="L16:N18" ca="1" si="13">SUMIF($F:$F,CONCATENATE($K16,L$1),$I:$I) / VLOOKUP(CONCATENATE($K16,L$1),$F:$G,2,FALSE)</f>
        <v>0</v>
      </c>
      <c r="M16" s="21">
        <f ca="1">SUMIF($F:$F,CONCATENATE($K16,M$1),$I:$I) / VLOOKUP(CONCATENATE($K16,M$1),$F:$G,2,FALSE)</f>
        <v>0</v>
      </c>
      <c r="N16" s="21">
        <f ca="1">SUMIF($F:$F,CONCATENATE($K16,N$1),$I:$I) / VLOOKUP(CONCATENATE($K16,N$1),$F:$G,2,FALSE)</f>
        <v>0</v>
      </c>
      <c r="O16" s="108">
        <f t="shared" ca="1" si="12"/>
        <v>0</v>
      </c>
      <c r="P16" s="110"/>
      <c r="Q16" s="95"/>
      <c r="R16" s="118">
        <v>0.8</v>
      </c>
      <c r="S16" s="95">
        <v>1</v>
      </c>
      <c r="T16" s="95">
        <v>1</v>
      </c>
      <c r="U16" s="106">
        <v>0.5</v>
      </c>
      <c r="V16" s="95"/>
      <c r="W16" s="1121" t="str">
        <f ca="1">AB16&amp;"-"&amp;COUNTIF($AB$2:$AB16,$AB16)</f>
        <v>0-3-0-2</v>
      </c>
      <c r="X16" s="1121" t="s">
        <v>1050</v>
      </c>
      <c r="Y16" s="1123">
        <f t="shared" ca="1" si="3"/>
        <v>0</v>
      </c>
      <c r="Z16" s="1126">
        <v>3</v>
      </c>
      <c r="AA16" s="1123">
        <f t="shared" ca="1" si="4"/>
        <v>0</v>
      </c>
      <c r="AB16" s="1125" t="str">
        <f t="shared" ca="1" si="7"/>
        <v>0-3-0</v>
      </c>
    </row>
    <row r="17" spans="1:28" ht="15" customHeight="1" x14ac:dyDescent="0.2">
      <c r="A17" s="417" t="s">
        <v>61</v>
      </c>
      <c r="B17" s="417" t="s">
        <v>68</v>
      </c>
      <c r="C17" s="417" t="s">
        <v>176</v>
      </c>
      <c r="D17" s="1111" t="s">
        <v>22</v>
      </c>
      <c r="E17" s="417">
        <v>1</v>
      </c>
      <c r="F17" s="100" t="str">
        <f t="shared" si="0"/>
        <v>ACCESS-31</v>
      </c>
      <c r="G17" s="100">
        <f t="shared" si="1"/>
        <v>3</v>
      </c>
      <c r="H17" s="133" t="e">
        <f t="shared" ca="1" si="5"/>
        <v>#VALUE!</v>
      </c>
      <c r="I17" s="133">
        <f t="shared" ca="1" si="2"/>
        <v>0</v>
      </c>
      <c r="J17" s="136" t="s">
        <v>176</v>
      </c>
      <c r="K17" s="107" t="s">
        <v>54</v>
      </c>
      <c r="L17" s="21">
        <f t="shared" ca="1" si="13"/>
        <v>0</v>
      </c>
      <c r="M17" s="21">
        <f t="shared" ca="1" si="13"/>
        <v>0</v>
      </c>
      <c r="N17" s="21">
        <f t="shared" ca="1" si="13"/>
        <v>0</v>
      </c>
      <c r="O17" s="108">
        <f t="shared" ca="1" si="12"/>
        <v>0</v>
      </c>
      <c r="P17" s="110"/>
      <c r="Q17" s="95"/>
      <c r="R17" s="118">
        <v>0.8</v>
      </c>
      <c r="S17" s="95">
        <v>1</v>
      </c>
      <c r="T17" s="95">
        <v>1</v>
      </c>
      <c r="U17" s="106">
        <v>0.5</v>
      </c>
      <c r="V17" s="95"/>
      <c r="W17" s="1121" t="str">
        <f ca="1">AB17&amp;"-"&amp;COUNTIF($AB$2:$AB17,$AB17)</f>
        <v>0-1-0-6</v>
      </c>
      <c r="X17" s="1121" t="s">
        <v>176</v>
      </c>
      <c r="Y17" s="1123">
        <f t="shared" ca="1" si="3"/>
        <v>0</v>
      </c>
      <c r="Z17" s="1126">
        <v>1</v>
      </c>
      <c r="AA17" s="1123">
        <f t="shared" ca="1" si="4"/>
        <v>0</v>
      </c>
      <c r="AB17" s="1125" t="str">
        <f t="shared" ca="1" si="7"/>
        <v>0-1-0</v>
      </c>
    </row>
    <row r="18" spans="1:28" ht="15" customHeight="1" x14ac:dyDescent="0.2">
      <c r="A18" s="417" t="s">
        <v>61</v>
      </c>
      <c r="B18" s="417" t="s">
        <v>68</v>
      </c>
      <c r="C18" s="417" t="s">
        <v>177</v>
      </c>
      <c r="D18" s="1111" t="s">
        <v>23</v>
      </c>
      <c r="E18" s="417">
        <v>1</v>
      </c>
      <c r="F18" s="100" t="str">
        <f t="shared" si="0"/>
        <v>ACCESS-31</v>
      </c>
      <c r="G18" s="100">
        <f t="shared" si="1"/>
        <v>3</v>
      </c>
      <c r="H18" s="133" t="e">
        <f t="shared" ca="1" si="5"/>
        <v>#VALUE!</v>
      </c>
      <c r="I18" s="133">
        <f t="shared" ca="1" si="2"/>
        <v>0</v>
      </c>
      <c r="J18" s="136" t="s">
        <v>177</v>
      </c>
      <c r="K18" s="107" t="s">
        <v>56</v>
      </c>
      <c r="L18" s="21">
        <f t="shared" ca="1" si="13"/>
        <v>0</v>
      </c>
      <c r="M18" s="21">
        <f t="shared" ca="1" si="13"/>
        <v>0</v>
      </c>
      <c r="N18" s="21">
        <f t="shared" ca="1" si="13"/>
        <v>0</v>
      </c>
      <c r="O18" s="108">
        <f t="shared" ca="1" si="12"/>
        <v>0</v>
      </c>
      <c r="P18" s="128"/>
      <c r="Q18" s="103"/>
      <c r="R18" s="118">
        <v>0.8</v>
      </c>
      <c r="S18" s="95">
        <v>1</v>
      </c>
      <c r="T18" s="95">
        <v>1</v>
      </c>
      <c r="U18" s="106">
        <v>0.5</v>
      </c>
      <c r="V18" s="103"/>
      <c r="W18" s="1121" t="str">
        <f ca="1">AB18&amp;"-"&amp;COUNTIF($AB$2:$AB18,$AB18)</f>
        <v>0-1-0-7</v>
      </c>
      <c r="X18" s="1121" t="s">
        <v>177</v>
      </c>
      <c r="Y18" s="1123">
        <f t="shared" ca="1" si="3"/>
        <v>0</v>
      </c>
      <c r="Z18" s="1126">
        <v>1</v>
      </c>
      <c r="AA18" s="1123">
        <f t="shared" ca="1" si="4"/>
        <v>0</v>
      </c>
      <c r="AB18" s="1125" t="str">
        <f t="shared" ca="1" si="7"/>
        <v>0-1-0</v>
      </c>
    </row>
    <row r="19" spans="1:28" ht="15" customHeight="1" x14ac:dyDescent="0.2">
      <c r="A19" s="417" t="s">
        <v>61</v>
      </c>
      <c r="B19" s="417" t="s">
        <v>68</v>
      </c>
      <c r="C19" s="417" t="s">
        <v>178</v>
      </c>
      <c r="D19" s="1111" t="s">
        <v>24</v>
      </c>
      <c r="E19" s="417">
        <v>1</v>
      </c>
      <c r="F19" s="100" t="str">
        <f t="shared" si="0"/>
        <v>ACCESS-31</v>
      </c>
      <c r="G19" s="100">
        <f t="shared" si="1"/>
        <v>3</v>
      </c>
      <c r="H19" s="133" t="e">
        <f t="shared" ca="1" si="5"/>
        <v>#VALUE!</v>
      </c>
      <c r="I19" s="133">
        <f t="shared" ca="1" si="2"/>
        <v>0</v>
      </c>
      <c r="J19" s="136" t="s">
        <v>178</v>
      </c>
      <c r="K19" s="107" t="s">
        <v>59</v>
      </c>
      <c r="L19" s="111">
        <v>1</v>
      </c>
      <c r="M19" s="21">
        <f ca="1">SUMIF($F:$F,CONCATENATE($K19,M$1),$I:$I) / VLOOKUP(CONCATENATE($K19,M$1),$F:$G,2,FALSE)</f>
        <v>0</v>
      </c>
      <c r="N19" s="21">
        <f ca="1">SUMIF($F:$F,CONCATENATE($K19,N$1),$I:$I) / VLOOKUP(CONCATENATE($K19,N$1),$F:$G,2,FALSE)</f>
        <v>0</v>
      </c>
      <c r="O19" s="108">
        <f t="shared" ca="1" si="12"/>
        <v>1</v>
      </c>
      <c r="P19" s="110"/>
      <c r="Q19" s="95"/>
      <c r="R19" s="118">
        <v>0.8</v>
      </c>
      <c r="S19" s="95">
        <v>1</v>
      </c>
      <c r="T19" s="95">
        <v>1</v>
      </c>
      <c r="U19" s="106">
        <v>0.5</v>
      </c>
      <c r="V19" s="95"/>
      <c r="W19" s="1121" t="str">
        <f ca="1">AB19&amp;"-"&amp;COUNTIF($AB$2:$AB19,$AB19)</f>
        <v>0-1-0-8</v>
      </c>
      <c r="X19" s="1121" t="s">
        <v>178</v>
      </c>
      <c r="Y19" s="1123">
        <f t="shared" ca="1" si="3"/>
        <v>0</v>
      </c>
      <c r="Z19" s="1126">
        <v>1</v>
      </c>
      <c r="AA19" s="1123">
        <f t="shared" ca="1" si="4"/>
        <v>0</v>
      </c>
      <c r="AB19" s="1125" t="str">
        <f t="shared" ca="1" si="7"/>
        <v>0-1-0</v>
      </c>
    </row>
    <row r="20" spans="1:28" ht="15" customHeight="1" x14ac:dyDescent="0.2">
      <c r="A20" s="417" t="s">
        <v>61</v>
      </c>
      <c r="B20" s="417" t="s">
        <v>68</v>
      </c>
      <c r="C20" s="417" t="s">
        <v>179</v>
      </c>
      <c r="D20" s="1111" t="s">
        <v>25</v>
      </c>
      <c r="E20" s="417">
        <v>2</v>
      </c>
      <c r="F20" s="100" t="str">
        <f t="shared" si="0"/>
        <v>ACCESS-32</v>
      </c>
      <c r="G20" s="100">
        <f t="shared" si="1"/>
        <v>4</v>
      </c>
      <c r="H20" s="133" t="e">
        <f t="shared" ca="1" si="5"/>
        <v>#VALUE!</v>
      </c>
      <c r="I20" s="133">
        <f t="shared" ca="1" si="2"/>
        <v>0</v>
      </c>
      <c r="J20" s="136" t="s">
        <v>179</v>
      </c>
      <c r="K20" s="101" t="s">
        <v>57</v>
      </c>
      <c r="L20" s="794">
        <f ca="1">SUMIF($F:$F,CONCATENATE($K20,"-","?",L$1),$I:$I) /COUNTIF($F:$F,CONCATENATE($K20,"-","?",L$1))</f>
        <v>0</v>
      </c>
      <c r="M20" s="794">
        <f ca="1">SUMIF($F:$F,CONCATENATE($K20,"-","?",M$1),$I:$I) /COUNTIF($F:$F,CONCATENATE($K20,"-","?",M$1))</f>
        <v>0</v>
      </c>
      <c r="N20" s="794">
        <f ca="1">SUMIF($F:$F,CONCATENATE($K20,"-","?",N$1),$I:$I) /COUNTIF($F:$F,CONCATENATE($K20,"-","?",N$1))</f>
        <v>0</v>
      </c>
      <c r="O20" s="102">
        <f ca="1">MIN(O21:O23)</f>
        <v>0</v>
      </c>
      <c r="P20" s="110"/>
      <c r="Q20" s="95"/>
      <c r="R20" s="118">
        <v>0.8</v>
      </c>
      <c r="S20" s="95">
        <v>1</v>
      </c>
      <c r="T20" s="95">
        <v>1</v>
      </c>
      <c r="U20" s="106">
        <v>0.5</v>
      </c>
      <c r="V20" s="95"/>
      <c r="W20" s="1121" t="str">
        <f ca="1">AB20&amp;"-"&amp;COUNTIF($AB$2:$AB20,$AB20)</f>
        <v>0-2-0-9</v>
      </c>
      <c r="X20" s="1121" t="s">
        <v>179</v>
      </c>
      <c r="Y20" s="1123">
        <f t="shared" ca="1" si="3"/>
        <v>0</v>
      </c>
      <c r="Z20" s="1126">
        <v>2</v>
      </c>
      <c r="AA20" s="1123">
        <f t="shared" ca="1" si="4"/>
        <v>0</v>
      </c>
      <c r="AB20" s="1125" t="str">
        <f t="shared" ca="1" si="7"/>
        <v>0-2-0</v>
      </c>
    </row>
    <row r="21" spans="1:28" ht="15" customHeight="1" x14ac:dyDescent="0.2">
      <c r="A21" s="417" t="s">
        <v>61</v>
      </c>
      <c r="B21" s="417" t="s">
        <v>68</v>
      </c>
      <c r="C21" s="417" t="s">
        <v>180</v>
      </c>
      <c r="D21" s="1111" t="s">
        <v>26</v>
      </c>
      <c r="E21" s="417">
        <v>2</v>
      </c>
      <c r="F21" s="100" t="str">
        <f t="shared" si="0"/>
        <v>ACCESS-32</v>
      </c>
      <c r="G21" s="100">
        <f t="shared" si="1"/>
        <v>4</v>
      </c>
      <c r="H21" s="133" t="e">
        <f t="shared" ca="1" si="5"/>
        <v>#VALUE!</v>
      </c>
      <c r="I21" s="133">
        <f t="shared" ca="1" si="2"/>
        <v>0</v>
      </c>
      <c r="J21" s="136" t="s">
        <v>180</v>
      </c>
      <c r="K21" s="107" t="s">
        <v>154</v>
      </c>
      <c r="L21" s="21">
        <f t="shared" ref="L21:N22" ca="1" si="14">SUMIF($F:$F,CONCATENATE($K21,L$1),$I:$I) / VLOOKUP(CONCATENATE($K21,L$1),$F:$G,2,FALSE)</f>
        <v>0</v>
      </c>
      <c r="M21" s="21">
        <f t="shared" ca="1" si="14"/>
        <v>0</v>
      </c>
      <c r="N21" s="21">
        <f t="shared" ca="1" si="14"/>
        <v>0</v>
      </c>
      <c r="O21" s="108">
        <f t="shared" ca="1" si="12"/>
        <v>0</v>
      </c>
      <c r="P21" s="110"/>
      <c r="Q21" s="95"/>
      <c r="R21" s="118">
        <v>0.8</v>
      </c>
      <c r="S21" s="95">
        <v>1</v>
      </c>
      <c r="T21" s="95">
        <v>1</v>
      </c>
      <c r="U21" s="106">
        <v>0.5</v>
      </c>
      <c r="V21" s="95"/>
      <c r="W21" s="1121" t="str">
        <f ca="1">AB21&amp;"-"&amp;COUNTIF($AB$2:$AB21,$AB21)</f>
        <v>0-2-0-10</v>
      </c>
      <c r="X21" s="1121" t="s">
        <v>180</v>
      </c>
      <c r="Y21" s="1123">
        <f t="shared" ca="1" si="3"/>
        <v>0</v>
      </c>
      <c r="Z21" s="1126">
        <v>2</v>
      </c>
      <c r="AA21" s="1123">
        <f t="shared" ca="1" si="4"/>
        <v>0</v>
      </c>
      <c r="AB21" s="1125" t="str">
        <f t="shared" ca="1" si="7"/>
        <v>0-2-0</v>
      </c>
    </row>
    <row r="22" spans="1:28" ht="15" customHeight="1" x14ac:dyDescent="0.2">
      <c r="A22" s="417" t="s">
        <v>61</v>
      </c>
      <c r="B22" s="417" t="s">
        <v>68</v>
      </c>
      <c r="C22" s="417" t="s">
        <v>181</v>
      </c>
      <c r="D22" s="1111" t="s">
        <v>27</v>
      </c>
      <c r="E22" s="417">
        <v>2</v>
      </c>
      <c r="F22" s="100" t="str">
        <f t="shared" si="0"/>
        <v>ACCESS-32</v>
      </c>
      <c r="G22" s="100">
        <f t="shared" si="1"/>
        <v>4</v>
      </c>
      <c r="H22" s="133" t="e">
        <f t="shared" ca="1" si="5"/>
        <v>#VALUE!</v>
      </c>
      <c r="I22" s="133">
        <f t="shared" ca="1" si="2"/>
        <v>0</v>
      </c>
      <c r="J22" s="136" t="s">
        <v>181</v>
      </c>
      <c r="K22" s="107" t="s">
        <v>157</v>
      </c>
      <c r="L22" s="21">
        <f t="shared" ca="1" si="14"/>
        <v>0</v>
      </c>
      <c r="M22" s="21">
        <f t="shared" ca="1" si="14"/>
        <v>0</v>
      </c>
      <c r="N22" s="21">
        <f t="shared" ca="1" si="14"/>
        <v>0</v>
      </c>
      <c r="O22" s="108">
        <f t="shared" ca="1" si="12"/>
        <v>0</v>
      </c>
      <c r="P22" s="128"/>
      <c r="Q22" s="103"/>
      <c r="R22" s="118">
        <v>0.8</v>
      </c>
      <c r="S22" s="95">
        <v>1</v>
      </c>
      <c r="T22" s="95">
        <v>1</v>
      </c>
      <c r="U22" s="106">
        <v>0.5</v>
      </c>
      <c r="V22" s="103"/>
      <c r="W22" s="1121" t="str">
        <f ca="1">AB22&amp;"-"&amp;COUNTIF($AB$2:$AB22,$AB22)</f>
        <v>0-2-0-11</v>
      </c>
      <c r="X22" s="1121" t="s">
        <v>181</v>
      </c>
      <c r="Y22" s="1123">
        <f t="shared" ca="1" si="3"/>
        <v>0</v>
      </c>
      <c r="Z22" s="1126">
        <v>2</v>
      </c>
      <c r="AA22" s="1123">
        <f t="shared" ca="1" si="4"/>
        <v>0</v>
      </c>
      <c r="AB22" s="1125" t="str">
        <f t="shared" ca="1" si="7"/>
        <v>0-2-0</v>
      </c>
    </row>
    <row r="23" spans="1:28" ht="15" customHeight="1" x14ac:dyDescent="0.2">
      <c r="A23" s="417" t="s">
        <v>61</v>
      </c>
      <c r="B23" s="417" t="s">
        <v>68</v>
      </c>
      <c r="C23" s="417" t="s">
        <v>182</v>
      </c>
      <c r="D23" s="1111" t="s">
        <v>28</v>
      </c>
      <c r="E23" s="417">
        <v>2</v>
      </c>
      <c r="F23" s="100" t="str">
        <f t="shared" si="0"/>
        <v>ACCESS-32</v>
      </c>
      <c r="G23" s="100">
        <f t="shared" si="1"/>
        <v>4</v>
      </c>
      <c r="H23" s="133" t="e">
        <f t="shared" ca="1" si="5"/>
        <v>#VALUE!</v>
      </c>
      <c r="I23" s="133">
        <f t="shared" ca="1" si="2"/>
        <v>0</v>
      </c>
      <c r="J23" s="136" t="s">
        <v>182</v>
      </c>
      <c r="K23" s="107" t="s">
        <v>159</v>
      </c>
      <c r="L23" s="21">
        <f ca="1">SUMIF($F:$F,CONCATENATE($K23,L$1),$I:$I) / VLOOKUP(CONCATENATE($K23,L$1),$F:$G,2,FALSE)</f>
        <v>0</v>
      </c>
      <c r="M23" s="21">
        <f ca="1">SUMIF($F:$F,CONCATENATE($K23,M$1),$I:$I) / VLOOKUP(CONCATENATE($K23,M$1),$F:$G,2,FALSE)</f>
        <v>0</v>
      </c>
      <c r="N23" s="111">
        <v>1</v>
      </c>
      <c r="O23" s="108">
        <f t="shared" ca="1" si="12"/>
        <v>0</v>
      </c>
      <c r="P23" s="110"/>
      <c r="Q23" s="95"/>
      <c r="R23" s="118">
        <v>0.8</v>
      </c>
      <c r="S23" s="95">
        <v>1</v>
      </c>
      <c r="T23" s="95">
        <v>1</v>
      </c>
      <c r="U23" s="106">
        <v>0.5</v>
      </c>
      <c r="V23" s="95"/>
      <c r="W23" s="1121" t="str">
        <f ca="1">AB23&amp;"-"&amp;COUNTIF($AB$2:$AB23,$AB23)</f>
        <v>0-2-0-12</v>
      </c>
      <c r="X23" s="1121" t="s">
        <v>182</v>
      </c>
      <c r="Y23" s="1123">
        <f t="shared" ca="1" si="3"/>
        <v>0</v>
      </c>
      <c r="Z23" s="1126">
        <v>2</v>
      </c>
      <c r="AA23" s="1123">
        <f t="shared" ca="1" si="4"/>
        <v>0</v>
      </c>
      <c r="AB23" s="1125" t="str">
        <f t="shared" ca="1" si="7"/>
        <v>0-2-0</v>
      </c>
    </row>
    <row r="24" spans="1:28" ht="15" customHeight="1" x14ac:dyDescent="0.2">
      <c r="A24" s="417" t="s">
        <v>61</v>
      </c>
      <c r="B24" s="417" t="s">
        <v>68</v>
      </c>
      <c r="C24" s="417" t="s">
        <v>1051</v>
      </c>
      <c r="D24" s="1111" t="s">
        <v>244</v>
      </c>
      <c r="E24" s="417">
        <v>3</v>
      </c>
      <c r="F24" s="100" t="str">
        <f t="shared" si="0"/>
        <v>ACCESS-33</v>
      </c>
      <c r="G24" s="100">
        <f t="shared" si="1"/>
        <v>2</v>
      </c>
      <c r="H24" s="133" t="e">
        <f t="shared" ca="1" si="5"/>
        <v>#VALUE!</v>
      </c>
      <c r="I24" s="133">
        <f t="shared" ca="1" si="2"/>
        <v>0</v>
      </c>
      <c r="J24" s="136" t="s">
        <v>345</v>
      </c>
      <c r="K24" s="101" t="s">
        <v>82</v>
      </c>
      <c r="L24" s="794">
        <f ca="1">SUMIF($F:$F,CONCATENATE($K24,"-","?",L$1),$I:$I) /COUNTIF($F:$F,CONCATENATE($K24,"-","?",L$1))</f>
        <v>0</v>
      </c>
      <c r="M24" s="794">
        <f ca="1">SUMIF($F:$F,CONCATENATE($K24,"-","?",M$1),$I:$I) /COUNTIF($F:$F,CONCATENATE($K24,"-","?",M$1))</f>
        <v>0</v>
      </c>
      <c r="N24" s="794">
        <f ca="1">SUMIF($F:$F,CONCATENATE($K24,"-","?",N$1),$I:$I) /COUNTIF($F:$F,CONCATENATE($K24,"-","?",N$1))</f>
        <v>0</v>
      </c>
      <c r="O24" s="102">
        <f ca="1">MIN(O25:O27)</f>
        <v>0</v>
      </c>
      <c r="P24" s="110"/>
      <c r="Q24" s="95"/>
      <c r="R24" s="118">
        <v>0.8</v>
      </c>
      <c r="S24" s="95">
        <v>1</v>
      </c>
      <c r="T24" s="95">
        <v>1</v>
      </c>
      <c r="U24" s="106">
        <v>0.5</v>
      </c>
      <c r="V24" s="95"/>
      <c r="W24" s="1121" t="str">
        <f ca="1">AB24&amp;"-"&amp;COUNTIF($AB$2:$AB24,$AB24)</f>
        <v>0-3-0-3</v>
      </c>
      <c r="X24" s="1121" t="s">
        <v>1051</v>
      </c>
      <c r="Y24" s="1123">
        <f t="shared" ca="1" si="3"/>
        <v>0</v>
      </c>
      <c r="Z24" s="1126">
        <v>3</v>
      </c>
      <c r="AA24" s="1123">
        <f t="shared" ca="1" si="4"/>
        <v>0</v>
      </c>
      <c r="AB24" s="1125" t="str">
        <f t="shared" ca="1" si="7"/>
        <v>0-3-0</v>
      </c>
    </row>
    <row r="25" spans="1:28" ht="15" customHeight="1" x14ac:dyDescent="0.2">
      <c r="A25" s="417" t="s">
        <v>61</v>
      </c>
      <c r="B25" s="417" t="s">
        <v>68</v>
      </c>
      <c r="C25" s="417" t="s">
        <v>1052</v>
      </c>
      <c r="D25" s="1111" t="s">
        <v>277</v>
      </c>
      <c r="E25" s="417">
        <v>3</v>
      </c>
      <c r="F25" s="100" t="str">
        <f t="shared" si="0"/>
        <v>ACCESS-33</v>
      </c>
      <c r="G25" s="100">
        <f t="shared" si="1"/>
        <v>2</v>
      </c>
      <c r="H25" s="133" t="e">
        <f t="shared" ca="1" si="5"/>
        <v>#VALUE!</v>
      </c>
      <c r="I25" s="133">
        <f t="shared" ca="1" si="2"/>
        <v>0</v>
      </c>
      <c r="J25" s="136" t="s">
        <v>346</v>
      </c>
      <c r="K25" s="107" t="s">
        <v>138</v>
      </c>
      <c r="L25" s="21">
        <f t="shared" ref="L25:N26" ca="1" si="15">SUMIF($F:$F,CONCATENATE($K25,L$1),$I:$I) / VLOOKUP(CONCATENATE($K25,L$1),$F:$G,2,FALSE)</f>
        <v>0</v>
      </c>
      <c r="M25" s="21">
        <f t="shared" ca="1" si="15"/>
        <v>0</v>
      </c>
      <c r="N25" s="21">
        <f t="shared" ca="1" si="15"/>
        <v>0</v>
      </c>
      <c r="O25" s="108">
        <f t="shared" ca="1" si="12"/>
        <v>0</v>
      </c>
      <c r="P25" s="110"/>
      <c r="Q25" s="95"/>
      <c r="R25" s="118">
        <v>0.8</v>
      </c>
      <c r="S25" s="95">
        <v>1</v>
      </c>
      <c r="T25" s="95">
        <v>1</v>
      </c>
      <c r="U25" s="106">
        <v>0.5</v>
      </c>
      <c r="V25" s="95"/>
      <c r="W25" s="1121" t="str">
        <f ca="1">AB25&amp;"-"&amp;COUNTIF($AB$2:$AB25,$AB25)</f>
        <v>0-3-0-4</v>
      </c>
      <c r="X25" s="1121" t="s">
        <v>1052</v>
      </c>
      <c r="Y25" s="1123">
        <f t="shared" ca="1" si="3"/>
        <v>0</v>
      </c>
      <c r="Z25" s="1126">
        <v>3</v>
      </c>
      <c r="AA25" s="1123">
        <f t="shared" ca="1" si="4"/>
        <v>0</v>
      </c>
      <c r="AB25" s="1125" t="str">
        <f t="shared" ca="1" si="7"/>
        <v>0-3-0</v>
      </c>
    </row>
    <row r="26" spans="1:28" ht="15" customHeight="1" x14ac:dyDescent="0.2">
      <c r="A26" s="417" t="s">
        <v>61</v>
      </c>
      <c r="B26" s="417" t="s">
        <v>1103</v>
      </c>
      <c r="C26" s="417" t="s">
        <v>1053</v>
      </c>
      <c r="D26" s="1111" t="s">
        <v>123</v>
      </c>
      <c r="E26" s="417">
        <v>2</v>
      </c>
      <c r="F26" s="100" t="str">
        <f t="shared" si="0"/>
        <v>ACCESS-42</v>
      </c>
      <c r="G26" s="100">
        <f t="shared" si="1"/>
        <v>2</v>
      </c>
      <c r="H26" s="133" t="e">
        <f t="shared" ca="1" si="5"/>
        <v>#VALUE!</v>
      </c>
      <c r="I26" s="133">
        <f t="shared" ca="1" si="2"/>
        <v>0</v>
      </c>
      <c r="J26" s="136" t="s">
        <v>347</v>
      </c>
      <c r="K26" s="107" t="s">
        <v>141</v>
      </c>
      <c r="L26" s="21">
        <f t="shared" ca="1" si="15"/>
        <v>0</v>
      </c>
      <c r="M26" s="21">
        <f t="shared" ca="1" si="15"/>
        <v>0</v>
      </c>
      <c r="N26" s="21">
        <f t="shared" ca="1" si="15"/>
        <v>0</v>
      </c>
      <c r="O26" s="108">
        <f t="shared" ca="1" si="12"/>
        <v>0</v>
      </c>
      <c r="P26" s="128"/>
      <c r="Q26" s="103"/>
      <c r="R26" s="119">
        <v>0.8</v>
      </c>
      <c r="S26" s="114">
        <v>1</v>
      </c>
      <c r="T26" s="114">
        <v>1</v>
      </c>
      <c r="U26" s="115">
        <v>0.5</v>
      </c>
      <c r="V26" s="103"/>
      <c r="W26" s="1121" t="str">
        <f ca="1">AB26&amp;"-"&amp;COUNTIF($AB$2:$AB26,$AB26)</f>
        <v>1-2-0-1</v>
      </c>
      <c r="X26" s="1121" t="s">
        <v>1053</v>
      </c>
      <c r="Y26" s="1123">
        <f t="shared" ca="1" si="3"/>
        <v>1</v>
      </c>
      <c r="Z26" s="1126">
        <v>2</v>
      </c>
      <c r="AA26" s="1123">
        <f t="shared" ca="1" si="4"/>
        <v>0</v>
      </c>
      <c r="AB26" s="1125" t="str">
        <f t="shared" ca="1" si="7"/>
        <v>1-2-0</v>
      </c>
    </row>
    <row r="27" spans="1:28" ht="15" customHeight="1" x14ac:dyDescent="0.2">
      <c r="A27" s="417" t="s">
        <v>61</v>
      </c>
      <c r="B27" s="417" t="s">
        <v>1103</v>
      </c>
      <c r="C27" s="417" t="s">
        <v>1054</v>
      </c>
      <c r="D27" s="1111" t="s">
        <v>126</v>
      </c>
      <c r="E27" s="417">
        <v>2</v>
      </c>
      <c r="F27" s="100" t="str">
        <f t="shared" si="0"/>
        <v>ACCESS-42</v>
      </c>
      <c r="G27" s="100">
        <f t="shared" si="1"/>
        <v>2</v>
      </c>
      <c r="H27" s="133" t="e">
        <f t="shared" ca="1" si="5"/>
        <v>#VALUE!</v>
      </c>
      <c r="I27" s="133">
        <f t="shared" ca="1" si="2"/>
        <v>0</v>
      </c>
      <c r="J27" s="136" t="s">
        <v>348</v>
      </c>
      <c r="K27" s="107" t="s">
        <v>144</v>
      </c>
      <c r="L27" s="111">
        <v>1</v>
      </c>
      <c r="M27" s="21">
        <f ca="1">SUMIF($F:$F,CONCATENATE($K27,M$1),$I:$I) / VLOOKUP(CONCATENATE($K27,M$1),$F:$G,2,FALSE)</f>
        <v>0</v>
      </c>
      <c r="N27" s="21">
        <f ca="1">SUMIF($F:$F,CONCATENATE($K27,N$1),$I:$I) / VLOOKUP(CONCATENATE($K27,N$1),$F:$G,2,FALSE)</f>
        <v>0</v>
      </c>
      <c r="O27" s="108">
        <f t="shared" ca="1" si="12"/>
        <v>1</v>
      </c>
      <c r="P27" s="110"/>
      <c r="Q27" s="95"/>
      <c r="R27" s="95"/>
      <c r="V27" s="95"/>
      <c r="W27" s="1121" t="str">
        <f ca="1">AB27&amp;"-"&amp;COUNTIF($AB$2:$AB27,$AB27)</f>
        <v>1-2-0-2</v>
      </c>
      <c r="X27" s="1121" t="s">
        <v>1054</v>
      </c>
      <c r="Y27" s="1123">
        <f t="shared" ca="1" si="3"/>
        <v>1</v>
      </c>
      <c r="Z27" s="1126">
        <v>2</v>
      </c>
      <c r="AA27" s="1123">
        <f t="shared" ca="1" si="4"/>
        <v>0</v>
      </c>
      <c r="AB27" s="1125" t="str">
        <f t="shared" ca="1" si="7"/>
        <v>1-2-0</v>
      </c>
    </row>
    <row r="28" spans="1:28" ht="15" customHeight="1" x14ac:dyDescent="0.2">
      <c r="A28" s="417" t="s">
        <v>61</v>
      </c>
      <c r="B28" s="417" t="s">
        <v>1103</v>
      </c>
      <c r="C28" s="417" t="s">
        <v>1055</v>
      </c>
      <c r="D28" s="1111" t="s">
        <v>129</v>
      </c>
      <c r="E28" s="417">
        <v>3</v>
      </c>
      <c r="F28" s="100" t="str">
        <f t="shared" si="0"/>
        <v>ACCESS-43</v>
      </c>
      <c r="G28" s="100">
        <f t="shared" si="1"/>
        <v>4</v>
      </c>
      <c r="H28" s="133" t="e">
        <f t="shared" ca="1" si="5"/>
        <v>#VALUE!</v>
      </c>
      <c r="I28" s="133">
        <f t="shared" ca="1" si="2"/>
        <v>0</v>
      </c>
      <c r="J28" s="136" t="s">
        <v>349</v>
      </c>
      <c r="K28" s="101" t="s">
        <v>71</v>
      </c>
      <c r="L28" s="794">
        <f ca="1">SUMIF($F:$F,CONCATENATE($K28,"-","?",L$1),$I:$I) /COUNTIF($F:$F,CONCATENATE($K28,"-","?",L$1))</f>
        <v>0</v>
      </c>
      <c r="M28" s="794">
        <f ca="1">SUMIF($F:$F,CONCATENATE($K28,"-","?",M$1),$I:$I) /COUNTIF($F:$F,CONCATENATE($K28,"-","?",M$1))</f>
        <v>0</v>
      </c>
      <c r="N28" s="794">
        <f ca="1">SUMIF($F:$F,CONCATENATE($K28,"-","?",N$1),$I:$I) /COUNTIF($F:$F,CONCATENATE($K28,"-","?",N$1))</f>
        <v>0</v>
      </c>
      <c r="O28" s="102">
        <f ca="1">MIN(O29:O33)</f>
        <v>0</v>
      </c>
      <c r="P28" s="110"/>
      <c r="Q28" s="95"/>
      <c r="R28" s="95"/>
      <c r="V28" s="95"/>
      <c r="W28" s="1121" t="str">
        <f ca="1">AB28&amp;"-"&amp;COUNTIF($AB$2:$AB28,$AB28)</f>
        <v>1-3-0-1</v>
      </c>
      <c r="X28" s="1121" t="s">
        <v>1055</v>
      </c>
      <c r="Y28" s="1123">
        <f t="shared" ca="1" si="3"/>
        <v>1</v>
      </c>
      <c r="Z28" s="1126">
        <v>3</v>
      </c>
      <c r="AA28" s="1123">
        <f t="shared" ca="1" si="4"/>
        <v>0</v>
      </c>
      <c r="AB28" s="1125" t="str">
        <f t="shared" ca="1" si="7"/>
        <v>1-3-0</v>
      </c>
    </row>
    <row r="29" spans="1:28" ht="15" customHeight="1" x14ac:dyDescent="0.2">
      <c r="A29" s="417" t="s">
        <v>61</v>
      </c>
      <c r="B29" s="417" t="s">
        <v>1103</v>
      </c>
      <c r="C29" s="417" t="s">
        <v>1056</v>
      </c>
      <c r="D29" s="1111" t="s">
        <v>132</v>
      </c>
      <c r="E29" s="417">
        <v>3</v>
      </c>
      <c r="F29" s="100" t="str">
        <f t="shared" si="0"/>
        <v>ACCESS-43</v>
      </c>
      <c r="G29" s="100">
        <f t="shared" si="1"/>
        <v>4</v>
      </c>
      <c r="H29" s="133" t="e">
        <f t="shared" ca="1" si="5"/>
        <v>#VALUE!</v>
      </c>
      <c r="I29" s="133">
        <f t="shared" ca="1" si="2"/>
        <v>0</v>
      </c>
      <c r="J29" s="136" t="s">
        <v>350</v>
      </c>
      <c r="K29" s="107" t="s">
        <v>93</v>
      </c>
      <c r="L29" s="21">
        <f t="shared" ref="L29:N32" ca="1" si="16">SUMIF($F:$F,CONCATENATE($K29,L$1),$I:$I) / VLOOKUP(CONCATENATE($K29,L$1),$F:$G,2,FALSE)</f>
        <v>0</v>
      </c>
      <c r="M29" s="21">
        <f t="shared" ca="1" si="16"/>
        <v>0</v>
      </c>
      <c r="N29" s="21">
        <f t="shared" ca="1" si="16"/>
        <v>0</v>
      </c>
      <c r="O29" s="108">
        <f t="shared" ca="1" si="12"/>
        <v>0</v>
      </c>
      <c r="P29" s="110"/>
      <c r="Q29" s="95"/>
      <c r="R29" s="95"/>
      <c r="V29" s="95"/>
      <c r="W29" s="1121" t="str">
        <f ca="1">AB29&amp;"-"&amp;COUNTIF($AB$2:$AB29,$AB29)</f>
        <v>1-3-0-2</v>
      </c>
      <c r="X29" s="1121" t="s">
        <v>1056</v>
      </c>
      <c r="Y29" s="1123">
        <f t="shared" ca="1" si="3"/>
        <v>1</v>
      </c>
      <c r="Z29" s="1126">
        <v>3</v>
      </c>
      <c r="AA29" s="1123">
        <f t="shared" ca="1" si="4"/>
        <v>0</v>
      </c>
      <c r="AB29" s="1125" t="str">
        <f t="shared" ca="1" si="7"/>
        <v>1-3-0</v>
      </c>
    </row>
    <row r="30" spans="1:28" ht="15" customHeight="1" x14ac:dyDescent="0.2">
      <c r="A30" s="417" t="s">
        <v>61</v>
      </c>
      <c r="B30" s="417" t="s">
        <v>1103</v>
      </c>
      <c r="C30" s="417" t="s">
        <v>1057</v>
      </c>
      <c r="D30" s="1111" t="s">
        <v>135</v>
      </c>
      <c r="E30" s="417">
        <v>3</v>
      </c>
      <c r="F30" s="100" t="str">
        <f t="shared" si="0"/>
        <v>ACCESS-43</v>
      </c>
      <c r="G30" s="100">
        <f t="shared" si="1"/>
        <v>4</v>
      </c>
      <c r="H30" s="133" t="e">
        <f t="shared" ca="1" si="5"/>
        <v>#VALUE!</v>
      </c>
      <c r="I30" s="133">
        <f t="shared" ca="1" si="2"/>
        <v>0</v>
      </c>
      <c r="J30" s="136" t="s">
        <v>351</v>
      </c>
      <c r="K30" s="107" t="s">
        <v>95</v>
      </c>
      <c r="L30" s="21">
        <f t="shared" ca="1" si="16"/>
        <v>0</v>
      </c>
      <c r="M30" s="21">
        <f t="shared" ref="M30:N33" ca="1" si="17">SUMIF($F:$F,CONCATENATE($K30,M$1),$I:$I) / VLOOKUP(CONCATENATE($K30,M$1),$F:$G,2,FALSE)</f>
        <v>0</v>
      </c>
      <c r="N30" s="21">
        <f t="shared" ca="1" si="17"/>
        <v>0</v>
      </c>
      <c r="O30" s="108">
        <f t="shared" ca="1" si="12"/>
        <v>0</v>
      </c>
      <c r="P30" s="110"/>
      <c r="Q30" s="95"/>
      <c r="R30" s="95"/>
      <c r="V30" s="95"/>
      <c r="W30" s="1121" t="str">
        <f ca="1">AB30&amp;"-"&amp;COUNTIF($AB$2:$AB30,$AB30)</f>
        <v>1-3-0-3</v>
      </c>
      <c r="X30" s="1121" t="s">
        <v>1057</v>
      </c>
      <c r="Y30" s="1123">
        <f t="shared" ca="1" si="3"/>
        <v>1</v>
      </c>
      <c r="Z30" s="1126">
        <v>3</v>
      </c>
      <c r="AA30" s="1123">
        <f t="shared" ca="1" si="4"/>
        <v>0</v>
      </c>
      <c r="AB30" s="1125" t="str">
        <f t="shared" ca="1" si="7"/>
        <v>1-3-0</v>
      </c>
    </row>
    <row r="31" spans="1:28" ht="15" customHeight="1" thickBot="1" x14ac:dyDescent="0.25">
      <c r="A31" s="417" t="s">
        <v>61</v>
      </c>
      <c r="B31" s="417" t="s">
        <v>1103</v>
      </c>
      <c r="C31" s="417" t="s">
        <v>1058</v>
      </c>
      <c r="D31" s="1111" t="s">
        <v>137</v>
      </c>
      <c r="E31" s="417">
        <v>3</v>
      </c>
      <c r="F31" s="100" t="str">
        <f t="shared" si="0"/>
        <v>ACCESS-43</v>
      </c>
      <c r="G31" s="100">
        <f t="shared" si="1"/>
        <v>4</v>
      </c>
      <c r="H31" s="133" t="e">
        <f t="shared" ca="1" si="5"/>
        <v>#VALUE!</v>
      </c>
      <c r="I31" s="133">
        <f t="shared" ca="1" si="2"/>
        <v>0</v>
      </c>
      <c r="J31" s="136" t="s">
        <v>352</v>
      </c>
      <c r="K31" s="107" t="s">
        <v>97</v>
      </c>
      <c r="L31" s="21">
        <f t="shared" ca="1" si="16"/>
        <v>0</v>
      </c>
      <c r="M31" s="21">
        <f t="shared" ca="1" si="17"/>
        <v>0</v>
      </c>
      <c r="N31" s="21">
        <f t="shared" ca="1" si="17"/>
        <v>0</v>
      </c>
      <c r="O31" s="108">
        <f t="shared" ca="1" si="12"/>
        <v>0</v>
      </c>
      <c r="P31" s="128"/>
      <c r="V31" s="103"/>
      <c r="W31" s="1121" t="str">
        <f ca="1">AB31&amp;"-"&amp;COUNTIF($AB$2:$AB31,$AB31)</f>
        <v>1-3-0-4</v>
      </c>
      <c r="X31" s="1121" t="s">
        <v>1058</v>
      </c>
      <c r="Y31" s="1123">
        <f t="shared" ca="1" si="3"/>
        <v>1</v>
      </c>
      <c r="Z31" s="1126">
        <v>3</v>
      </c>
      <c r="AA31" s="1123">
        <f t="shared" ca="1" si="4"/>
        <v>0</v>
      </c>
      <c r="AB31" s="1125" t="str">
        <f t="shared" ca="1" si="7"/>
        <v>1-3-0</v>
      </c>
    </row>
    <row r="32" spans="1:28" ht="15" customHeight="1" thickBot="1" x14ac:dyDescent="0.25">
      <c r="A32" s="130" t="s">
        <v>80</v>
      </c>
      <c r="B32" s="130" t="s">
        <v>121</v>
      </c>
      <c r="C32" s="130" t="s">
        <v>345</v>
      </c>
      <c r="D32" s="1112" t="s">
        <v>5</v>
      </c>
      <c r="E32" s="130">
        <v>1</v>
      </c>
      <c r="F32" s="100" t="str">
        <f t="shared" si="0"/>
        <v>ARCHITECTURE-11</v>
      </c>
      <c r="G32" s="100">
        <f t="shared" si="1"/>
        <v>1</v>
      </c>
      <c r="H32" s="133" t="e">
        <f t="shared" ca="1" si="5"/>
        <v>#VALUE!</v>
      </c>
      <c r="I32" s="133">
        <f t="shared" ca="1" si="2"/>
        <v>0</v>
      </c>
      <c r="J32" s="136" t="s">
        <v>353</v>
      </c>
      <c r="K32" s="107" t="s">
        <v>99</v>
      </c>
      <c r="L32" s="21">
        <f t="shared" ca="1" si="16"/>
        <v>0</v>
      </c>
      <c r="M32" s="21">
        <f t="shared" ca="1" si="17"/>
        <v>0</v>
      </c>
      <c r="N32" s="21">
        <f t="shared" ca="1" si="17"/>
        <v>0</v>
      </c>
      <c r="O32" s="108">
        <f t="shared" ca="1" si="12"/>
        <v>0</v>
      </c>
      <c r="P32" s="110"/>
      <c r="Q32" s="96" t="s">
        <v>29</v>
      </c>
      <c r="R32" s="97" t="s">
        <v>872</v>
      </c>
      <c r="S32" s="94">
        <v>1</v>
      </c>
      <c r="T32" s="94">
        <v>2</v>
      </c>
      <c r="U32" s="94">
        <v>3</v>
      </c>
      <c r="V32" s="95"/>
      <c r="W32" s="1121" t="str">
        <f ca="1">AB32&amp;"-"&amp;COUNTIF($AB$2:$AB32,$AB32)</f>
        <v>0-1-0-9</v>
      </c>
      <c r="X32" s="1121" t="s">
        <v>345</v>
      </c>
      <c r="Y32" s="1123">
        <f t="shared" ca="1" si="3"/>
        <v>0</v>
      </c>
      <c r="Z32" s="1126">
        <v>1</v>
      </c>
      <c r="AA32" s="1123">
        <f t="shared" ca="1" si="4"/>
        <v>0</v>
      </c>
      <c r="AB32" s="1125" t="str">
        <f t="shared" ca="1" si="7"/>
        <v>0-1-0</v>
      </c>
    </row>
    <row r="33" spans="1:28" ht="15" customHeight="1" x14ac:dyDescent="0.2">
      <c r="A33" s="130" t="s">
        <v>80</v>
      </c>
      <c r="B33" s="130" t="s">
        <v>121</v>
      </c>
      <c r="C33" s="130" t="s">
        <v>346</v>
      </c>
      <c r="D33" s="1112" t="s">
        <v>7</v>
      </c>
      <c r="E33" s="130">
        <v>2</v>
      </c>
      <c r="F33" s="100" t="str">
        <f t="shared" si="0"/>
        <v>ARCHITECTURE-12</v>
      </c>
      <c r="G33" s="100">
        <f t="shared" si="1"/>
        <v>5</v>
      </c>
      <c r="H33" s="133" t="e">
        <f t="shared" ca="1" si="5"/>
        <v>#VALUE!</v>
      </c>
      <c r="I33" s="133">
        <f t="shared" ca="1" si="2"/>
        <v>0</v>
      </c>
      <c r="J33" s="136" t="s">
        <v>354</v>
      </c>
      <c r="K33" s="107" t="s">
        <v>1112</v>
      </c>
      <c r="L33" s="111">
        <v>1</v>
      </c>
      <c r="M33" s="21">
        <f t="shared" ca="1" si="17"/>
        <v>0</v>
      </c>
      <c r="N33" s="21">
        <f t="shared" ca="1" si="17"/>
        <v>0</v>
      </c>
      <c r="O33" s="108">
        <f t="shared" ca="1" si="12"/>
        <v>1</v>
      </c>
      <c r="P33" s="110"/>
      <c r="Q33" s="109" t="s">
        <v>57</v>
      </c>
      <c r="R33" s="128" t="str">
        <f>Parameters!B78</f>
        <v>Kriittiset
palvelut</v>
      </c>
      <c r="S33" s="120">
        <f ca="1">VLOOKUP($Q33,$K$2:$N$58,2,FALSE)</f>
        <v>0</v>
      </c>
      <c r="T33" s="120">
        <f ca="1">VLOOKUP($Q33,$K$2:$N$58,3,FALSE)</f>
        <v>0</v>
      </c>
      <c r="U33" s="120">
        <f ca="1">VLOOKUP($Q33,$K$2:$N$58,4,FALSE)</f>
        <v>0</v>
      </c>
      <c r="V33" s="95"/>
      <c r="W33" s="1121" t="str">
        <f ca="1">AB33&amp;"-"&amp;COUNTIF($AB$2:$AB33,$AB33)</f>
        <v>0-2-0-13</v>
      </c>
      <c r="X33" s="1121" t="s">
        <v>346</v>
      </c>
      <c r="Y33" s="1123">
        <f t="shared" ca="1" si="3"/>
        <v>0</v>
      </c>
      <c r="Z33" s="1126">
        <v>2</v>
      </c>
      <c r="AA33" s="1123">
        <f t="shared" ca="1" si="4"/>
        <v>0</v>
      </c>
      <c r="AB33" s="1125" t="str">
        <f t="shared" ca="1" si="7"/>
        <v>0-2-0</v>
      </c>
    </row>
    <row r="34" spans="1:28" ht="15" customHeight="1" x14ac:dyDescent="0.2">
      <c r="A34" s="130" t="s">
        <v>80</v>
      </c>
      <c r="B34" s="130" t="s">
        <v>121</v>
      </c>
      <c r="C34" s="130" t="s">
        <v>347</v>
      </c>
      <c r="D34" s="1112" t="s">
        <v>8</v>
      </c>
      <c r="E34" s="130">
        <v>2</v>
      </c>
      <c r="F34" s="100" t="str">
        <f t="shared" si="0"/>
        <v>ARCHITECTURE-12</v>
      </c>
      <c r="G34" s="100">
        <f t="shared" si="1"/>
        <v>5</v>
      </c>
      <c r="H34" s="133" t="e">
        <f t="shared" ca="1" si="5"/>
        <v>#VALUE!</v>
      </c>
      <c r="I34" s="133">
        <f t="shared" ca="1" si="2"/>
        <v>0</v>
      </c>
      <c r="J34" s="136" t="s">
        <v>355</v>
      </c>
      <c r="K34" s="101" t="s">
        <v>0</v>
      </c>
      <c r="L34" s="794">
        <f ca="1">SUMIF($F:$F,CONCATENATE($K34,"-","?",L$1),$I:$I) /COUNTIF($F:$F,CONCATENATE($K34,"-","?",L$1))</f>
        <v>0</v>
      </c>
      <c r="M34" s="794">
        <f ca="1">SUMIF($F:$F,CONCATENATE($K34,"-","?",M$1),$I:$I) /COUNTIF($F:$F,CONCATENATE($K34,"-","?",M$1))</f>
        <v>0</v>
      </c>
      <c r="N34" s="794">
        <f ca="1">SUMIF($F:$F,CONCATENATE($K34,"-","?",N$1),$I:$I) /COUNTIF($F:$F,CONCATENATE($K34,"-","?",N$1))</f>
        <v>0</v>
      </c>
      <c r="O34" s="102">
        <f ca="1">MIN(O35:O39)</f>
        <v>0</v>
      </c>
      <c r="P34" s="110"/>
      <c r="Q34" s="109" t="s">
        <v>48</v>
      </c>
      <c r="R34" s="128" t="str">
        <f>Parameters!B79</f>
        <v>Omaisuuden
hallinta</v>
      </c>
      <c r="S34" s="120">
        <f t="shared" ref="S34:S43" ca="1" si="18">VLOOKUP($Q34,$K$2:$N$58,2,FALSE)</f>
        <v>0</v>
      </c>
      <c r="T34" s="120">
        <f t="shared" ref="T34:T43" ca="1" si="19">VLOOKUP($Q34,$K$2:$N$58,3,FALSE)</f>
        <v>0</v>
      </c>
      <c r="U34" s="120">
        <f t="shared" ref="U34:U43" ca="1" si="20">VLOOKUP($Q34,$K$2:$N$58,4,FALSE)</f>
        <v>0</v>
      </c>
      <c r="V34" s="95"/>
      <c r="W34" s="1121" t="str">
        <f ca="1">AB34&amp;"-"&amp;COUNTIF($AB$2:$AB34,$AB34)</f>
        <v>0-2-0-14</v>
      </c>
      <c r="X34" s="1121" t="s">
        <v>347</v>
      </c>
      <c r="Y34" s="1123">
        <f t="shared" ref="Y34:Y65" ca="1" si="21">VLOOKUP(LEFT($X34,LEN($X34)-1),$K:$O,5,FALSE)</f>
        <v>0</v>
      </c>
      <c r="Z34" s="1126">
        <v>2</v>
      </c>
      <c r="AA34" s="1123">
        <f t="shared" ca="1" si="4"/>
        <v>0</v>
      </c>
      <c r="AB34" s="1125" t="str">
        <f t="shared" ca="1" si="7"/>
        <v>0-2-0</v>
      </c>
    </row>
    <row r="35" spans="1:28" ht="15" customHeight="1" x14ac:dyDescent="0.2">
      <c r="A35" s="130" t="s">
        <v>80</v>
      </c>
      <c r="B35" s="130" t="s">
        <v>121</v>
      </c>
      <c r="C35" s="130" t="s">
        <v>348</v>
      </c>
      <c r="D35" s="1112" t="s">
        <v>9</v>
      </c>
      <c r="E35" s="130">
        <v>2</v>
      </c>
      <c r="F35" s="100" t="str">
        <f t="shared" si="0"/>
        <v>ARCHITECTURE-12</v>
      </c>
      <c r="G35" s="100">
        <f t="shared" si="1"/>
        <v>5</v>
      </c>
      <c r="H35" s="133" t="e">
        <f t="shared" ca="1" si="5"/>
        <v>#VALUE!</v>
      </c>
      <c r="I35" s="133">
        <f t="shared" ca="1" si="2"/>
        <v>0</v>
      </c>
      <c r="J35" s="136" t="s">
        <v>356</v>
      </c>
      <c r="K35" s="107" t="s">
        <v>40</v>
      </c>
      <c r="L35" s="21">
        <f t="shared" ref="L35:N38" ca="1" si="22">SUMIF($F:$F,CONCATENATE($K35,L$1),$I:$I) / VLOOKUP(CONCATENATE($K35,L$1),$F:$G,2,FALSE)</f>
        <v>0</v>
      </c>
      <c r="M35" s="21">
        <f t="shared" ca="1" si="22"/>
        <v>0</v>
      </c>
      <c r="N35" s="21">
        <f t="shared" ca="1" si="22"/>
        <v>0</v>
      </c>
      <c r="O35" s="108">
        <f t="shared" ca="1" si="12"/>
        <v>0</v>
      </c>
      <c r="P35" s="110"/>
      <c r="Q35" s="109" t="s">
        <v>66</v>
      </c>
      <c r="R35" s="128" t="str">
        <f>Parameters!B80</f>
        <v>Uhkat ja
haavoittuvuudet</v>
      </c>
      <c r="S35" s="120">
        <f t="shared" ca="1" si="18"/>
        <v>0</v>
      </c>
      <c r="T35" s="120">
        <f t="shared" ca="1" si="19"/>
        <v>0</v>
      </c>
      <c r="U35" s="120">
        <f t="shared" ca="1" si="20"/>
        <v>0</v>
      </c>
      <c r="V35" s="95"/>
      <c r="W35" s="1121" t="str">
        <f ca="1">AB35&amp;"-"&amp;COUNTIF($AB$2:$AB35,$AB35)</f>
        <v>0-2-0-15</v>
      </c>
      <c r="X35" s="1121" t="s">
        <v>348</v>
      </c>
      <c r="Y35" s="1123">
        <f t="shared" ca="1" si="21"/>
        <v>0</v>
      </c>
      <c r="Z35" s="1126">
        <v>2</v>
      </c>
      <c r="AA35" s="1123">
        <f t="shared" ca="1" si="4"/>
        <v>0</v>
      </c>
      <c r="AB35" s="1125" t="str">
        <f t="shared" ca="1" si="7"/>
        <v>0-2-0</v>
      </c>
    </row>
    <row r="36" spans="1:28" ht="15" customHeight="1" x14ac:dyDescent="0.2">
      <c r="A36" s="130" t="s">
        <v>80</v>
      </c>
      <c r="B36" s="130" t="s">
        <v>121</v>
      </c>
      <c r="C36" s="130" t="s">
        <v>349</v>
      </c>
      <c r="D36" s="1112" t="s">
        <v>10</v>
      </c>
      <c r="E36" s="130">
        <v>2</v>
      </c>
      <c r="F36" s="100" t="str">
        <f t="shared" si="0"/>
        <v>ARCHITECTURE-12</v>
      </c>
      <c r="G36" s="100">
        <f t="shared" si="1"/>
        <v>5</v>
      </c>
      <c r="H36" s="133" t="e">
        <f t="shared" ca="1" si="5"/>
        <v>#VALUE!</v>
      </c>
      <c r="I36" s="133">
        <f t="shared" ca="1" si="2"/>
        <v>0</v>
      </c>
      <c r="J36" s="136" t="s">
        <v>357</v>
      </c>
      <c r="K36" s="107" t="s">
        <v>44</v>
      </c>
      <c r="L36" s="21">
        <f t="shared" ca="1" si="22"/>
        <v>0</v>
      </c>
      <c r="M36" s="21">
        <f t="shared" ca="1" si="22"/>
        <v>0</v>
      </c>
      <c r="N36" s="21">
        <f t="shared" ca="1" si="22"/>
        <v>0</v>
      </c>
      <c r="O36" s="108">
        <f t="shared" ca="1" si="12"/>
        <v>0</v>
      </c>
      <c r="P36" s="128"/>
      <c r="Q36" s="109" t="s">
        <v>0</v>
      </c>
      <c r="R36" s="128" t="str">
        <f>Parameters!B81</f>
        <v>Riskien
hallinta</v>
      </c>
      <c r="S36" s="120">
        <f t="shared" ca="1" si="18"/>
        <v>0</v>
      </c>
      <c r="T36" s="120">
        <f t="shared" ca="1" si="19"/>
        <v>0</v>
      </c>
      <c r="U36" s="120">
        <f t="shared" ca="1" si="20"/>
        <v>0</v>
      </c>
      <c r="V36" s="103"/>
      <c r="W36" s="1121" t="str">
        <f ca="1">AB36&amp;"-"&amp;COUNTIF($AB$2:$AB36,$AB36)</f>
        <v>0-2-0-16</v>
      </c>
      <c r="X36" s="1121" t="s">
        <v>349</v>
      </c>
      <c r="Y36" s="1123">
        <f t="shared" ca="1" si="21"/>
        <v>0</v>
      </c>
      <c r="Z36" s="1126">
        <v>2</v>
      </c>
      <c r="AA36" s="1123">
        <f t="shared" ca="1" si="4"/>
        <v>0</v>
      </c>
      <c r="AB36" s="1125" t="str">
        <f t="shared" ca="1" si="7"/>
        <v>0-2-0</v>
      </c>
    </row>
    <row r="37" spans="1:28" ht="15" customHeight="1" x14ac:dyDescent="0.2">
      <c r="A37" s="130" t="s">
        <v>80</v>
      </c>
      <c r="B37" s="130" t="s">
        <v>121</v>
      </c>
      <c r="C37" s="130" t="s">
        <v>350</v>
      </c>
      <c r="D37" s="1112" t="s">
        <v>11</v>
      </c>
      <c r="E37" s="130">
        <v>2</v>
      </c>
      <c r="F37" s="100" t="str">
        <f t="shared" si="0"/>
        <v>ARCHITECTURE-12</v>
      </c>
      <c r="G37" s="100">
        <f t="shared" si="1"/>
        <v>5</v>
      </c>
      <c r="H37" s="133" t="e">
        <f t="shared" ca="1" si="5"/>
        <v>#VALUE!</v>
      </c>
      <c r="I37" s="133">
        <f t="shared" ca="1" si="2"/>
        <v>0</v>
      </c>
      <c r="J37" s="136" t="s">
        <v>358</v>
      </c>
      <c r="K37" s="107" t="s">
        <v>46</v>
      </c>
      <c r="L37" s="21">
        <f t="shared" ca="1" si="22"/>
        <v>0</v>
      </c>
      <c r="M37" s="21">
        <f t="shared" ref="M37:N39" ca="1" si="23">SUMIF($F:$F,CONCATENATE($K37,M$1),$I:$I) / VLOOKUP(CONCATENATE($K37,M$1),$F:$G,2,FALSE)</f>
        <v>0</v>
      </c>
      <c r="N37" s="21">
        <f t="shared" ca="1" si="23"/>
        <v>0</v>
      </c>
      <c r="O37" s="108">
        <f t="shared" ca="1" si="12"/>
        <v>0</v>
      </c>
      <c r="P37" s="110"/>
      <c r="Q37" s="109" t="s">
        <v>61</v>
      </c>
      <c r="R37" s="128" t="str">
        <f>Parameters!B82</f>
        <v>Pääsyn
hallinta</v>
      </c>
      <c r="S37" s="120">
        <f t="shared" ca="1" si="18"/>
        <v>0</v>
      </c>
      <c r="T37" s="120">
        <f t="shared" ca="1" si="19"/>
        <v>0</v>
      </c>
      <c r="U37" s="120">
        <f t="shared" ca="1" si="20"/>
        <v>0</v>
      </c>
      <c r="V37" s="95"/>
      <c r="W37" s="1121" t="str">
        <f ca="1">AB37&amp;"-"&amp;COUNTIF($AB$2:$AB37,$AB37)</f>
        <v>0-2-0-17</v>
      </c>
      <c r="X37" s="1121" t="s">
        <v>350</v>
      </c>
      <c r="Y37" s="1123">
        <f t="shared" ca="1" si="21"/>
        <v>0</v>
      </c>
      <c r="Z37" s="1126">
        <v>2</v>
      </c>
      <c r="AA37" s="1123">
        <f t="shared" ca="1" si="4"/>
        <v>0</v>
      </c>
      <c r="AB37" s="1125" t="str">
        <f t="shared" ca="1" si="7"/>
        <v>0-2-0</v>
      </c>
    </row>
    <row r="38" spans="1:28" ht="15" customHeight="1" x14ac:dyDescent="0.2">
      <c r="A38" s="130" t="s">
        <v>80</v>
      </c>
      <c r="B38" s="130" t="s">
        <v>121</v>
      </c>
      <c r="C38" s="130" t="s">
        <v>351</v>
      </c>
      <c r="D38" s="1112" t="s">
        <v>12</v>
      </c>
      <c r="E38" s="130">
        <v>3</v>
      </c>
      <c r="F38" s="100" t="str">
        <f t="shared" si="0"/>
        <v>ARCHITECTURE-13</v>
      </c>
      <c r="G38" s="100">
        <f t="shared" si="1"/>
        <v>4</v>
      </c>
      <c r="H38" s="133" t="e">
        <f t="shared" ca="1" si="5"/>
        <v>#VALUE!</v>
      </c>
      <c r="I38" s="133">
        <f t="shared" ca="1" si="2"/>
        <v>0</v>
      </c>
      <c r="J38" s="136" t="s">
        <v>359</v>
      </c>
      <c r="K38" s="107" t="s">
        <v>1101</v>
      </c>
      <c r="L38" s="21">
        <f t="shared" ca="1" si="22"/>
        <v>0</v>
      </c>
      <c r="M38" s="21">
        <f t="shared" ca="1" si="23"/>
        <v>0</v>
      </c>
      <c r="N38" s="21">
        <f t="shared" ca="1" si="23"/>
        <v>0</v>
      </c>
      <c r="O38" s="108">
        <f t="shared" ca="1" si="12"/>
        <v>0</v>
      </c>
      <c r="P38" s="110"/>
      <c r="Q38" s="109" t="s">
        <v>69</v>
      </c>
      <c r="R38" s="128" t="str">
        <f>Parameters!B83</f>
        <v>Tilanne
kuva</v>
      </c>
      <c r="S38" s="120">
        <f t="shared" ca="1" si="18"/>
        <v>0</v>
      </c>
      <c r="T38" s="120">
        <f t="shared" ca="1" si="19"/>
        <v>0</v>
      </c>
      <c r="U38" s="120">
        <f t="shared" ca="1" si="20"/>
        <v>0</v>
      </c>
      <c r="V38" s="95"/>
      <c r="W38" s="1121" t="str">
        <f ca="1">AB38&amp;"-"&amp;COUNTIF($AB$2:$AB38,$AB38)</f>
        <v>0-3-0-5</v>
      </c>
      <c r="X38" s="1121" t="s">
        <v>351</v>
      </c>
      <c r="Y38" s="1123">
        <f t="shared" ca="1" si="21"/>
        <v>0</v>
      </c>
      <c r="Z38" s="1126">
        <v>3</v>
      </c>
      <c r="AA38" s="1123">
        <f t="shared" ca="1" si="4"/>
        <v>0</v>
      </c>
      <c r="AB38" s="1125" t="str">
        <f t="shared" ca="1" si="7"/>
        <v>0-3-0</v>
      </c>
    </row>
    <row r="39" spans="1:28" ht="15" customHeight="1" x14ac:dyDescent="0.2">
      <c r="A39" s="130" t="s">
        <v>80</v>
      </c>
      <c r="B39" s="130" t="s">
        <v>121</v>
      </c>
      <c r="C39" s="130" t="s">
        <v>352</v>
      </c>
      <c r="D39" s="1112" t="s">
        <v>13</v>
      </c>
      <c r="E39" s="130">
        <v>3</v>
      </c>
      <c r="F39" s="100" t="str">
        <f t="shared" si="0"/>
        <v>ARCHITECTURE-13</v>
      </c>
      <c r="G39" s="100">
        <f t="shared" si="1"/>
        <v>4</v>
      </c>
      <c r="H39" s="133" t="e">
        <f t="shared" ca="1" si="5"/>
        <v>#VALUE!</v>
      </c>
      <c r="I39" s="133">
        <f t="shared" ca="1" si="2"/>
        <v>0</v>
      </c>
      <c r="J39" s="136" t="s">
        <v>360</v>
      </c>
      <c r="K39" s="107" t="s">
        <v>1102</v>
      </c>
      <c r="L39" s="111">
        <v>1</v>
      </c>
      <c r="M39" s="21">
        <f t="shared" ca="1" si="23"/>
        <v>0</v>
      </c>
      <c r="N39" s="21">
        <f t="shared" ca="1" si="23"/>
        <v>0</v>
      </c>
      <c r="O39" s="108">
        <f t="shared" ca="1" si="12"/>
        <v>1</v>
      </c>
      <c r="P39" s="110"/>
      <c r="Q39" s="109" t="s">
        <v>71</v>
      </c>
      <c r="R39" s="128" t="str">
        <f>Parameters!B84</f>
        <v>Tapahtumat
ja häiriöt</v>
      </c>
      <c r="S39" s="120">
        <f t="shared" ca="1" si="18"/>
        <v>0</v>
      </c>
      <c r="T39" s="120">
        <f t="shared" ca="1" si="19"/>
        <v>0</v>
      </c>
      <c r="U39" s="120">
        <f t="shared" ca="1" si="20"/>
        <v>0</v>
      </c>
      <c r="V39" s="95"/>
      <c r="W39" s="1121" t="str">
        <f ca="1">AB39&amp;"-"&amp;COUNTIF($AB$2:$AB39,$AB39)</f>
        <v>0-3-0-6</v>
      </c>
      <c r="X39" s="1121" t="s">
        <v>352</v>
      </c>
      <c r="Y39" s="1123">
        <f t="shared" ca="1" si="21"/>
        <v>0</v>
      </c>
      <c r="Z39" s="1126">
        <v>3</v>
      </c>
      <c r="AA39" s="1123">
        <f t="shared" ca="1" si="4"/>
        <v>0</v>
      </c>
      <c r="AB39" s="1125" t="str">
        <f t="shared" ca="1" si="7"/>
        <v>0-3-0</v>
      </c>
    </row>
    <row r="40" spans="1:28" ht="15" customHeight="1" x14ac:dyDescent="0.2">
      <c r="A40" s="130" t="s">
        <v>80</v>
      </c>
      <c r="B40" s="130" t="s">
        <v>121</v>
      </c>
      <c r="C40" s="130" t="s">
        <v>353</v>
      </c>
      <c r="D40" s="1112" t="s">
        <v>14</v>
      </c>
      <c r="E40" s="130">
        <v>3</v>
      </c>
      <c r="F40" s="100" t="str">
        <f t="shared" si="0"/>
        <v>ARCHITECTURE-13</v>
      </c>
      <c r="G40" s="100">
        <f t="shared" si="1"/>
        <v>4</v>
      </c>
      <c r="H40" s="133" t="e">
        <f t="shared" ca="1" si="5"/>
        <v>#VALUE!</v>
      </c>
      <c r="I40" s="133">
        <f t="shared" ca="1" si="2"/>
        <v>0</v>
      </c>
      <c r="J40" s="136" t="s">
        <v>361</v>
      </c>
      <c r="K40" s="101" t="s">
        <v>69</v>
      </c>
      <c r="L40" s="794">
        <f ca="1">SUMIF($F:$F,CONCATENATE($K40,"-","?",L$1),$I:$I) /COUNTIF($F:$F,CONCATENATE($K40,"-","?",L$1))</f>
        <v>0</v>
      </c>
      <c r="M40" s="794">
        <f ca="1">SUMIF($F:$F,CONCATENATE($K40,"-","?",M$1),$I:$I) /COUNTIF($F:$F,CONCATENATE($K40,"-","?",M$1))</f>
        <v>0</v>
      </c>
      <c r="N40" s="794">
        <f ca="1">SUMIF($F:$F,CONCATENATE($K40,"-","?",N$1),$I:$I) /COUNTIF($F:$F,CONCATENATE($K40,"-","?",N$1))</f>
        <v>0</v>
      </c>
      <c r="O40" s="102">
        <f ca="1">MIN(O41:O44)</f>
        <v>0</v>
      </c>
      <c r="P40" s="128"/>
      <c r="Q40" s="109" t="s">
        <v>1145</v>
      </c>
      <c r="R40" s="128" t="str">
        <f>Parameters!B85</f>
        <v>Kolmannet
osapuolet</v>
      </c>
      <c r="S40" s="120">
        <f t="shared" ca="1" si="18"/>
        <v>0</v>
      </c>
      <c r="T40" s="120">
        <f t="shared" ca="1" si="19"/>
        <v>0</v>
      </c>
      <c r="U40" s="120">
        <f t="shared" ca="1" si="20"/>
        <v>0</v>
      </c>
      <c r="V40" s="103"/>
      <c r="W40" s="1121" t="str">
        <f ca="1">AB40&amp;"-"&amp;COUNTIF($AB$2:$AB40,$AB40)</f>
        <v>0-3-0-7</v>
      </c>
      <c r="X40" s="1121" t="s">
        <v>353</v>
      </c>
      <c r="Y40" s="1123">
        <f t="shared" ca="1" si="21"/>
        <v>0</v>
      </c>
      <c r="Z40" s="1126">
        <v>3</v>
      </c>
      <c r="AA40" s="1123">
        <f t="shared" ca="1" si="4"/>
        <v>0</v>
      </c>
      <c r="AB40" s="1125" t="str">
        <f t="shared" ca="1" si="7"/>
        <v>0-3-0</v>
      </c>
    </row>
    <row r="41" spans="1:28" ht="15" customHeight="1" x14ac:dyDescent="0.2">
      <c r="A41" s="130" t="s">
        <v>80</v>
      </c>
      <c r="B41" s="130" t="s">
        <v>121</v>
      </c>
      <c r="C41" s="130" t="s">
        <v>1078</v>
      </c>
      <c r="D41" s="1112" t="s">
        <v>15</v>
      </c>
      <c r="E41" s="130">
        <v>3</v>
      </c>
      <c r="F41" s="100" t="str">
        <f t="shared" si="0"/>
        <v>ARCHITECTURE-13</v>
      </c>
      <c r="G41" s="100">
        <f t="shared" si="1"/>
        <v>4</v>
      </c>
      <c r="H41" s="133" t="e">
        <f t="shared" ca="1" si="5"/>
        <v>#VALUE!</v>
      </c>
      <c r="I41" s="133">
        <f t="shared" ca="1" si="2"/>
        <v>0</v>
      </c>
      <c r="J41" s="136" t="s">
        <v>362</v>
      </c>
      <c r="K41" s="107" t="s">
        <v>84</v>
      </c>
      <c r="L41" s="21">
        <f ca="1">SUMIF($F:$F,CONCATENATE($K41,L$1),$I:$I) / VLOOKUP(CONCATENATE($K41,L$1),$F:$G,2,FALSE)</f>
        <v>0</v>
      </c>
      <c r="M41" s="21">
        <f t="shared" ref="M41:N44" ca="1" si="24">SUMIF($F:$F,CONCATENATE($K41,M$1),$I:$I) / VLOOKUP(CONCATENATE($K41,M$1),$F:$G,2,FALSE)</f>
        <v>0</v>
      </c>
      <c r="N41" s="21">
        <f t="shared" ca="1" si="24"/>
        <v>0</v>
      </c>
      <c r="O41" s="108">
        <f t="shared" ca="1" si="12"/>
        <v>0</v>
      </c>
      <c r="P41" s="110"/>
      <c r="Q41" s="109" t="s">
        <v>77</v>
      </c>
      <c r="R41" s="128" t="str">
        <f>Parameters!B86</f>
        <v>Henkilöstön
hallinta</v>
      </c>
      <c r="S41" s="120">
        <f t="shared" ca="1" si="18"/>
        <v>0</v>
      </c>
      <c r="T41" s="120">
        <f t="shared" ca="1" si="19"/>
        <v>0</v>
      </c>
      <c r="U41" s="120">
        <f t="shared" ca="1" si="20"/>
        <v>0</v>
      </c>
      <c r="V41" s="95"/>
      <c r="W41" s="1121" t="str">
        <f ca="1">AB41&amp;"-"&amp;COUNTIF($AB$2:$AB41,$AB41)</f>
        <v>0-3-0-8</v>
      </c>
      <c r="X41" s="1121" t="s">
        <v>1078</v>
      </c>
      <c r="Y41" s="1123">
        <f t="shared" ca="1" si="21"/>
        <v>0</v>
      </c>
      <c r="Z41" s="1126">
        <v>3</v>
      </c>
      <c r="AA41" s="1123">
        <f t="shared" ca="1" si="4"/>
        <v>0</v>
      </c>
      <c r="AB41" s="1125" t="str">
        <f t="shared" ca="1" si="7"/>
        <v>0-3-0</v>
      </c>
    </row>
    <row r="42" spans="1:28" ht="15" customHeight="1" x14ac:dyDescent="0.2">
      <c r="A42" s="130" t="s">
        <v>80</v>
      </c>
      <c r="B42" s="130" t="s">
        <v>124</v>
      </c>
      <c r="C42" s="130" t="s">
        <v>354</v>
      </c>
      <c r="D42" s="1112" t="s">
        <v>17</v>
      </c>
      <c r="E42" s="130">
        <v>1</v>
      </c>
      <c r="F42" s="100" t="str">
        <f t="shared" si="0"/>
        <v>ARCHITECTURE-21</v>
      </c>
      <c r="G42" s="100">
        <f t="shared" si="1"/>
        <v>1</v>
      </c>
      <c r="H42" s="133" t="e">
        <f t="shared" ca="1" si="5"/>
        <v>#VALUE!</v>
      </c>
      <c r="I42" s="133">
        <f t="shared" ca="1" si="2"/>
        <v>0</v>
      </c>
      <c r="J42" s="136" t="s">
        <v>363</v>
      </c>
      <c r="K42" s="107" t="s">
        <v>86</v>
      </c>
      <c r="L42" s="21">
        <f ca="1">SUMIF($F:$F,CONCATENATE($K42,L$1),$I:$I) / VLOOKUP(CONCATENATE($K42,L$1),$F:$G,2,FALSE)</f>
        <v>0</v>
      </c>
      <c r="M42" s="21">
        <f t="shared" ca="1" si="24"/>
        <v>0</v>
      </c>
      <c r="N42" s="21">
        <f t="shared" ca="1" si="24"/>
        <v>0</v>
      </c>
      <c r="O42" s="108">
        <f t="shared" ca="1" si="12"/>
        <v>0</v>
      </c>
      <c r="P42" s="110"/>
      <c r="Q42" s="109" t="s">
        <v>80</v>
      </c>
      <c r="R42" s="128" t="str">
        <f>Parameters!B87</f>
        <v>Kyber
arkkitehtuuri</v>
      </c>
      <c r="S42" s="120">
        <f t="shared" ca="1" si="18"/>
        <v>0</v>
      </c>
      <c r="T42" s="120">
        <f t="shared" ca="1" si="19"/>
        <v>0</v>
      </c>
      <c r="U42" s="120">
        <f t="shared" ca="1" si="20"/>
        <v>0</v>
      </c>
      <c r="V42" s="95"/>
      <c r="W42" s="1121" t="str">
        <f ca="1">AB42&amp;"-"&amp;COUNTIF($AB$2:$AB42,$AB42)</f>
        <v>0-1-0-10</v>
      </c>
      <c r="X42" s="1121" t="s">
        <v>354</v>
      </c>
      <c r="Y42" s="1123">
        <f t="shared" ca="1" si="21"/>
        <v>0</v>
      </c>
      <c r="Z42" s="1126">
        <v>1</v>
      </c>
      <c r="AA42" s="1123">
        <f t="shared" ca="1" si="4"/>
        <v>0</v>
      </c>
      <c r="AB42" s="1125" t="str">
        <f t="shared" ca="1" si="7"/>
        <v>0-1-0</v>
      </c>
    </row>
    <row r="43" spans="1:28" ht="15" customHeight="1" x14ac:dyDescent="0.2">
      <c r="A43" s="130" t="s">
        <v>80</v>
      </c>
      <c r="B43" s="130" t="s">
        <v>124</v>
      </c>
      <c r="C43" s="130" t="s">
        <v>355</v>
      </c>
      <c r="D43" s="1112" t="s">
        <v>18</v>
      </c>
      <c r="E43" s="130">
        <v>2</v>
      </c>
      <c r="F43" s="100" t="str">
        <f t="shared" si="0"/>
        <v>ARCHITECTURE-22</v>
      </c>
      <c r="G43" s="100">
        <f t="shared" si="1"/>
        <v>5</v>
      </c>
      <c r="H43" s="133" t="e">
        <f t="shared" ca="1" si="5"/>
        <v>#VALUE!</v>
      </c>
      <c r="I43" s="133">
        <f t="shared" ca="1" si="2"/>
        <v>0</v>
      </c>
      <c r="J43" s="136" t="s">
        <v>364</v>
      </c>
      <c r="K43" s="107" t="s">
        <v>88</v>
      </c>
      <c r="L43" s="111">
        <v>1</v>
      </c>
      <c r="M43" s="21">
        <f t="shared" ca="1" si="24"/>
        <v>0</v>
      </c>
      <c r="N43" s="21">
        <f t="shared" ca="1" si="24"/>
        <v>0</v>
      </c>
      <c r="O43" s="108">
        <f t="shared" ca="1" si="12"/>
        <v>1</v>
      </c>
      <c r="P43" s="110"/>
      <c r="Q43" s="112" t="s">
        <v>82</v>
      </c>
      <c r="R43" s="128" t="str">
        <f>Parameters!B88</f>
        <v>Kyberturv.
hallinta</v>
      </c>
      <c r="S43" s="120">
        <f t="shared" ca="1" si="18"/>
        <v>0</v>
      </c>
      <c r="T43" s="120">
        <f t="shared" ca="1" si="19"/>
        <v>0</v>
      </c>
      <c r="U43" s="120">
        <f t="shared" ca="1" si="20"/>
        <v>0</v>
      </c>
      <c r="V43" s="95"/>
      <c r="W43" s="1121" t="str">
        <f ca="1">AB43&amp;"-"&amp;COUNTIF($AB$2:$AB43,$AB43)</f>
        <v>0-2-0-18</v>
      </c>
      <c r="X43" s="1121" t="s">
        <v>355</v>
      </c>
      <c r="Y43" s="1123">
        <f t="shared" ca="1" si="21"/>
        <v>0</v>
      </c>
      <c r="Z43" s="1126">
        <v>2</v>
      </c>
      <c r="AA43" s="1123">
        <f t="shared" ca="1" si="4"/>
        <v>0</v>
      </c>
      <c r="AB43" s="1125" t="str">
        <f t="shared" ca="1" si="7"/>
        <v>0-2-0</v>
      </c>
    </row>
    <row r="44" spans="1:28" ht="15" customHeight="1" x14ac:dyDescent="0.2">
      <c r="A44" s="130" t="s">
        <v>80</v>
      </c>
      <c r="B44" s="130" t="s">
        <v>124</v>
      </c>
      <c r="C44" s="130" t="s">
        <v>356</v>
      </c>
      <c r="D44" s="1112" t="s">
        <v>19</v>
      </c>
      <c r="E44" s="130">
        <v>2</v>
      </c>
      <c r="F44" s="100" t="str">
        <f t="shared" si="0"/>
        <v>ARCHITECTURE-22</v>
      </c>
      <c r="G44" s="100">
        <f t="shared" si="1"/>
        <v>5</v>
      </c>
      <c r="H44" s="133" t="e">
        <f t="shared" ca="1" si="5"/>
        <v>#VALUE!</v>
      </c>
      <c r="I44" s="133">
        <f t="shared" ca="1" si="2"/>
        <v>0</v>
      </c>
      <c r="J44" s="136" t="s">
        <v>365</v>
      </c>
      <c r="K44" s="107" t="s">
        <v>90</v>
      </c>
      <c r="L44" s="111">
        <v>1</v>
      </c>
      <c r="M44" s="21">
        <f t="shared" ca="1" si="24"/>
        <v>0</v>
      </c>
      <c r="N44" s="21">
        <f t="shared" ca="1" si="24"/>
        <v>0</v>
      </c>
      <c r="O44" s="108">
        <f t="shared" ca="1" si="12"/>
        <v>1</v>
      </c>
      <c r="P44" s="110"/>
      <c r="Q44" s="95"/>
      <c r="R44" s="110"/>
      <c r="S44" s="95"/>
      <c r="T44" s="95"/>
      <c r="U44" s="110"/>
      <c r="V44" s="95"/>
      <c r="W44" s="1121" t="str">
        <f ca="1">AB44&amp;"-"&amp;COUNTIF($AB$2:$AB44,$AB44)</f>
        <v>0-2-0-19</v>
      </c>
      <c r="X44" s="1121" t="s">
        <v>356</v>
      </c>
      <c r="Y44" s="1123">
        <f t="shared" ca="1" si="21"/>
        <v>0</v>
      </c>
      <c r="Z44" s="1126">
        <v>2</v>
      </c>
      <c r="AA44" s="1123">
        <f t="shared" ca="1" si="4"/>
        <v>0</v>
      </c>
      <c r="AB44" s="1125" t="str">
        <f t="shared" ca="1" si="7"/>
        <v>0-2-0</v>
      </c>
    </row>
    <row r="45" spans="1:28" ht="15" customHeight="1" x14ac:dyDescent="0.2">
      <c r="A45" s="130" t="s">
        <v>80</v>
      </c>
      <c r="B45" s="130" t="s">
        <v>124</v>
      </c>
      <c r="C45" s="130" t="s">
        <v>1079</v>
      </c>
      <c r="D45" s="1112" t="s">
        <v>20</v>
      </c>
      <c r="E45" s="130">
        <v>2</v>
      </c>
      <c r="F45" s="100" t="str">
        <f t="shared" si="0"/>
        <v>ARCHITECTURE-22</v>
      </c>
      <c r="G45" s="100">
        <f t="shared" si="1"/>
        <v>5</v>
      </c>
      <c r="H45" s="133" t="e">
        <f t="shared" ca="1" si="5"/>
        <v>#VALUE!</v>
      </c>
      <c r="I45" s="133">
        <f t="shared" ca="1" si="2"/>
        <v>0</v>
      </c>
      <c r="J45" s="136" t="s">
        <v>366</v>
      </c>
      <c r="K45" s="101" t="s">
        <v>1145</v>
      </c>
      <c r="L45" s="794">
        <f ca="1">SUMIF($F:$F,CONCATENATE($K45,"-","?",L$1),$I:$I) /COUNTIF($F:$F,CONCATENATE($K45,"-","?",L$1))</f>
        <v>0</v>
      </c>
      <c r="M45" s="794">
        <f ca="1">SUMIF($F:$F,CONCATENATE($K45,"-","?",M$1),$I:$I) /COUNTIF($F:$F,CONCATENATE($K45,"-","?",M$1))</f>
        <v>0</v>
      </c>
      <c r="N45" s="794">
        <f ca="1">SUMIF($F:$F,CONCATENATE($K45,"-","?",N$1),$I:$I) /COUNTIF($F:$F,CONCATENATE($K45,"-","?",N$1))</f>
        <v>0</v>
      </c>
      <c r="O45" s="102">
        <f ca="1">MIN(O46:O48)</f>
        <v>0</v>
      </c>
      <c r="P45" s="128"/>
      <c r="Q45" s="95"/>
      <c r="R45" s="110"/>
      <c r="S45" s="95"/>
      <c r="T45" s="95"/>
      <c r="U45" s="110"/>
      <c r="V45" s="103"/>
      <c r="W45" s="1121" t="str">
        <f ca="1">AB45&amp;"-"&amp;COUNTIF($AB$2:$AB45,$AB45)</f>
        <v>0-2-0-20</v>
      </c>
      <c r="X45" s="1121" t="s">
        <v>1079</v>
      </c>
      <c r="Y45" s="1123">
        <f t="shared" ca="1" si="21"/>
        <v>0</v>
      </c>
      <c r="Z45" s="1126">
        <v>2</v>
      </c>
      <c r="AA45" s="1123">
        <f t="shared" ca="1" si="4"/>
        <v>0</v>
      </c>
      <c r="AB45" s="1125" t="str">
        <f t="shared" ca="1" si="7"/>
        <v>0-2-0</v>
      </c>
    </row>
    <row r="46" spans="1:28" ht="15" customHeight="1" x14ac:dyDescent="0.2">
      <c r="A46" s="130" t="s">
        <v>80</v>
      </c>
      <c r="B46" s="130" t="s">
        <v>124</v>
      </c>
      <c r="C46" s="130" t="s">
        <v>1080</v>
      </c>
      <c r="D46" s="1112" t="s">
        <v>21</v>
      </c>
      <c r="E46" s="130">
        <v>2</v>
      </c>
      <c r="F46" s="100" t="str">
        <f t="shared" si="0"/>
        <v>ARCHITECTURE-22</v>
      </c>
      <c r="G46" s="100">
        <f t="shared" si="1"/>
        <v>5</v>
      </c>
      <c r="H46" s="133" t="e">
        <f t="shared" ca="1" si="5"/>
        <v>#VALUE!</v>
      </c>
      <c r="I46" s="133">
        <f t="shared" ca="1" si="2"/>
        <v>0</v>
      </c>
      <c r="J46" s="136" t="s">
        <v>367</v>
      </c>
      <c r="K46" s="107" t="s">
        <v>1121</v>
      </c>
      <c r="L46" s="21">
        <f t="shared" ref="L46:N47" ca="1" si="25">SUMIF($F:$F,CONCATENATE($K46,L$1),$I:$I) / VLOOKUP(CONCATENATE($K46,L$1),$F:$G,2,FALSE)</f>
        <v>0</v>
      </c>
      <c r="M46" s="21">
        <f t="shared" ca="1" si="25"/>
        <v>0</v>
      </c>
      <c r="N46" s="21">
        <f t="shared" ca="1" si="25"/>
        <v>0</v>
      </c>
      <c r="O46" s="108">
        <f t="shared" ca="1" si="12"/>
        <v>0</v>
      </c>
      <c r="P46" s="110"/>
      <c r="Q46" s="95"/>
      <c r="R46" s="110"/>
      <c r="S46" s="95"/>
      <c r="T46" s="95"/>
      <c r="U46" s="110"/>
      <c r="V46" s="95"/>
      <c r="W46" s="1121" t="str">
        <f ca="1">AB46&amp;"-"&amp;COUNTIF($AB$2:$AB46,$AB46)</f>
        <v>0-2-0-21</v>
      </c>
      <c r="X46" s="1121" t="s">
        <v>1080</v>
      </c>
      <c r="Y46" s="1123">
        <f t="shared" ca="1" si="21"/>
        <v>0</v>
      </c>
      <c r="Z46" s="1126">
        <v>2</v>
      </c>
      <c r="AA46" s="1123">
        <f t="shared" ca="1" si="4"/>
        <v>0</v>
      </c>
      <c r="AB46" s="1125" t="str">
        <f t="shared" ca="1" si="7"/>
        <v>0-2-0</v>
      </c>
    </row>
    <row r="47" spans="1:28" ht="15" customHeight="1" x14ac:dyDescent="0.2">
      <c r="A47" s="130" t="s">
        <v>80</v>
      </c>
      <c r="B47" s="130" t="s">
        <v>124</v>
      </c>
      <c r="C47" s="130" t="s">
        <v>1081</v>
      </c>
      <c r="D47" s="1112" t="s">
        <v>109</v>
      </c>
      <c r="E47" s="130">
        <v>2</v>
      </c>
      <c r="F47" s="100" t="str">
        <f t="shared" si="0"/>
        <v>ARCHITECTURE-22</v>
      </c>
      <c r="G47" s="100">
        <f t="shared" si="1"/>
        <v>5</v>
      </c>
      <c r="H47" s="133" t="e">
        <f t="shared" ca="1" si="5"/>
        <v>#VALUE!</v>
      </c>
      <c r="I47" s="133">
        <f t="shared" ca="1" si="2"/>
        <v>0</v>
      </c>
      <c r="J47" s="136" t="s">
        <v>368</v>
      </c>
      <c r="K47" s="107" t="s">
        <v>1127</v>
      </c>
      <c r="L47" s="21">
        <f t="shared" ca="1" si="25"/>
        <v>0</v>
      </c>
      <c r="M47" s="21">
        <f ca="1">SUMIF($F:$F,CONCATENATE($K47,M$1),$I:$I) / VLOOKUP(CONCATENATE($K47,M$1),$F:$G,2,FALSE)</f>
        <v>0</v>
      </c>
      <c r="N47" s="21">
        <f ca="1">SUMIF($F:$F,CONCATENATE($K47,N$1),$I:$I) / VLOOKUP(CONCATENATE($K47,N$1),$F:$G,2,FALSE)</f>
        <v>0</v>
      </c>
      <c r="O47" s="108">
        <f t="shared" ca="1" si="12"/>
        <v>0</v>
      </c>
      <c r="P47" s="110"/>
      <c r="Q47" s="95"/>
      <c r="R47" s="110"/>
      <c r="S47" s="95"/>
      <c r="T47" s="95"/>
      <c r="U47" s="110"/>
      <c r="V47" s="95"/>
      <c r="W47" s="1121" t="str">
        <f ca="1">AB47&amp;"-"&amp;COUNTIF($AB$2:$AB47,$AB47)</f>
        <v>0-2-0-22</v>
      </c>
      <c r="X47" s="1121" t="s">
        <v>1081</v>
      </c>
      <c r="Y47" s="1123">
        <f t="shared" ca="1" si="21"/>
        <v>0</v>
      </c>
      <c r="Z47" s="1126">
        <v>2</v>
      </c>
      <c r="AA47" s="1123">
        <f t="shared" ca="1" si="4"/>
        <v>0</v>
      </c>
      <c r="AB47" s="1125" t="str">
        <f t="shared" ca="1" si="7"/>
        <v>0-2-0</v>
      </c>
    </row>
    <row r="48" spans="1:28" ht="15" customHeight="1" x14ac:dyDescent="0.2">
      <c r="A48" s="130" t="s">
        <v>80</v>
      </c>
      <c r="B48" s="130" t="s">
        <v>124</v>
      </c>
      <c r="C48" s="130" t="s">
        <v>1082</v>
      </c>
      <c r="D48" s="1112" t="s">
        <v>173</v>
      </c>
      <c r="E48" s="130">
        <v>3</v>
      </c>
      <c r="F48" s="100" t="str">
        <f t="shared" si="0"/>
        <v>ARCHITECTURE-23</v>
      </c>
      <c r="G48" s="100">
        <f t="shared" si="1"/>
        <v>6</v>
      </c>
      <c r="H48" s="133" t="e">
        <f t="shared" ca="1" si="5"/>
        <v>#VALUE!</v>
      </c>
      <c r="I48" s="133">
        <f t="shared" ca="1" si="2"/>
        <v>0</v>
      </c>
      <c r="J48" s="136" t="s">
        <v>370</v>
      </c>
      <c r="K48" s="107" t="s">
        <v>1146</v>
      </c>
      <c r="L48" s="111">
        <v>1</v>
      </c>
      <c r="M48" s="21">
        <f ca="1">SUMIF($F:$F,CONCATENATE($K48,M$1),$I:$I) / VLOOKUP(CONCATENATE($K48,M$1),$F:$G,2,FALSE)</f>
        <v>0</v>
      </c>
      <c r="N48" s="21">
        <f ca="1">SUMIF($F:$F,CONCATENATE($K48,N$1),$I:$I) / VLOOKUP(CONCATENATE($K48,N$1),$F:$G,2,FALSE)</f>
        <v>0</v>
      </c>
      <c r="O48" s="108">
        <f t="shared" ca="1" si="12"/>
        <v>1</v>
      </c>
      <c r="P48" s="110"/>
      <c r="Q48" s="95"/>
      <c r="R48" s="95"/>
      <c r="S48" s="95"/>
      <c r="T48" s="95"/>
      <c r="U48" s="110"/>
      <c r="V48" s="95"/>
      <c r="W48" s="1121" t="str">
        <f ca="1">AB48&amp;"-"&amp;COUNTIF($AB$2:$AB48,$AB48)</f>
        <v>0-3-0-9</v>
      </c>
      <c r="X48" s="1121" t="s">
        <v>1082</v>
      </c>
      <c r="Y48" s="1123">
        <f t="shared" ca="1" si="21"/>
        <v>0</v>
      </c>
      <c r="Z48" s="1126">
        <v>3</v>
      </c>
      <c r="AA48" s="1123">
        <f t="shared" ca="1" si="4"/>
        <v>0</v>
      </c>
      <c r="AB48" s="1125" t="str">
        <f t="shared" ca="1" si="7"/>
        <v>0-3-0</v>
      </c>
    </row>
    <row r="49" spans="1:28" ht="15" customHeight="1" x14ac:dyDescent="0.2">
      <c r="A49" s="130" t="s">
        <v>80</v>
      </c>
      <c r="B49" s="130" t="s">
        <v>124</v>
      </c>
      <c r="C49" s="130" t="s">
        <v>1083</v>
      </c>
      <c r="D49" s="1112" t="s">
        <v>175</v>
      </c>
      <c r="E49" s="130">
        <v>3</v>
      </c>
      <c r="F49" s="100" t="str">
        <f t="shared" si="0"/>
        <v>ARCHITECTURE-23</v>
      </c>
      <c r="G49" s="100">
        <f t="shared" si="1"/>
        <v>6</v>
      </c>
      <c r="H49" s="133" t="e">
        <f t="shared" ca="1" si="5"/>
        <v>#VALUE!</v>
      </c>
      <c r="I49" s="133">
        <f t="shared" ca="1" si="2"/>
        <v>0</v>
      </c>
      <c r="J49" s="136" t="s">
        <v>372</v>
      </c>
      <c r="K49" s="101" t="s">
        <v>66</v>
      </c>
      <c r="L49" s="794">
        <f ca="1">SUMIF($F:$F,CONCATENATE($K49,"-","?",L$1),$I:$I) /COUNTIF($F:$F,CONCATENATE($K49,"-","?",L$1))</f>
        <v>0</v>
      </c>
      <c r="M49" s="794">
        <f ca="1">SUMIF($F:$F,CONCATENATE($K49,"-","?",M$1),$I:$I) /COUNTIF($F:$F,CONCATENATE($K49,"-","?",M$1))</f>
        <v>0</v>
      </c>
      <c r="N49" s="794">
        <f ca="1">SUMIF($F:$F,CONCATENATE($K49,"-","?",N$1),$I:$I) /COUNTIF($F:$F,CONCATENATE($K49,"-","?",N$1))</f>
        <v>0</v>
      </c>
      <c r="O49" s="102">
        <f ca="1">MIN(O50:O52)</f>
        <v>0</v>
      </c>
      <c r="P49" s="128"/>
      <c r="Q49" s="95"/>
      <c r="R49" s="95"/>
      <c r="S49" s="95"/>
      <c r="T49" s="95"/>
      <c r="U49" s="95"/>
      <c r="V49" s="103"/>
      <c r="W49" s="1121" t="str">
        <f ca="1">AB49&amp;"-"&amp;COUNTIF($AB$2:$AB49,$AB49)</f>
        <v>0-3-0-10</v>
      </c>
      <c r="X49" s="1121" t="s">
        <v>1083</v>
      </c>
      <c r="Y49" s="1123">
        <f t="shared" ca="1" si="21"/>
        <v>0</v>
      </c>
      <c r="Z49" s="1126">
        <v>3</v>
      </c>
      <c r="AA49" s="1123">
        <f t="shared" ca="1" si="4"/>
        <v>0</v>
      </c>
      <c r="AB49" s="1125" t="str">
        <f t="shared" ca="1" si="7"/>
        <v>0-3-0</v>
      </c>
    </row>
    <row r="50" spans="1:28" ht="15" customHeight="1" x14ac:dyDescent="0.2">
      <c r="A50" s="130" t="s">
        <v>80</v>
      </c>
      <c r="B50" s="130" t="s">
        <v>124</v>
      </c>
      <c r="C50" s="130" t="s">
        <v>1084</v>
      </c>
      <c r="D50" s="1112" t="s">
        <v>206</v>
      </c>
      <c r="E50" s="130">
        <v>3</v>
      </c>
      <c r="F50" s="100" t="str">
        <f t="shared" si="0"/>
        <v>ARCHITECTURE-23</v>
      </c>
      <c r="G50" s="100">
        <f t="shared" si="1"/>
        <v>6</v>
      </c>
      <c r="H50" s="133" t="e">
        <f t="shared" ca="1" si="5"/>
        <v>#VALUE!</v>
      </c>
      <c r="I50" s="133">
        <f t="shared" ca="1" si="2"/>
        <v>0</v>
      </c>
      <c r="J50" s="136" t="s">
        <v>373</v>
      </c>
      <c r="K50" s="107" t="s">
        <v>73</v>
      </c>
      <c r="L50" s="21">
        <f t="shared" ref="L50:N52" ca="1" si="26">SUMIF($F:$F,CONCATENATE($K50,L$1),$I:$I) / VLOOKUP(CONCATENATE($K50,L$1),$F:$G,2,FALSE)</f>
        <v>0</v>
      </c>
      <c r="M50" s="21">
        <f t="shared" ca="1" si="26"/>
        <v>0</v>
      </c>
      <c r="N50" s="21">
        <f t="shared" ca="1" si="26"/>
        <v>0</v>
      </c>
      <c r="O50" s="108">
        <f t="shared" ca="1" si="12"/>
        <v>0</v>
      </c>
      <c r="P50" s="110"/>
      <c r="Q50" s="95"/>
      <c r="R50" s="95"/>
      <c r="S50" s="95"/>
      <c r="T50" s="95"/>
      <c r="U50" s="95"/>
      <c r="V50" s="95"/>
      <c r="W50" s="1121" t="str">
        <f ca="1">AB50&amp;"-"&amp;COUNTIF($AB$2:$AB50,$AB50)</f>
        <v>0-3-0-11</v>
      </c>
      <c r="X50" s="1121" t="s">
        <v>1084</v>
      </c>
      <c r="Y50" s="1123">
        <f t="shared" ca="1" si="21"/>
        <v>0</v>
      </c>
      <c r="Z50" s="1126">
        <v>3</v>
      </c>
      <c r="AA50" s="1123">
        <f t="shared" ca="1" si="4"/>
        <v>0</v>
      </c>
      <c r="AB50" s="1125" t="str">
        <f t="shared" ca="1" si="7"/>
        <v>0-3-0</v>
      </c>
    </row>
    <row r="51" spans="1:28" ht="15" customHeight="1" x14ac:dyDescent="0.2">
      <c r="A51" s="130" t="s">
        <v>80</v>
      </c>
      <c r="B51" s="130" t="s">
        <v>124</v>
      </c>
      <c r="C51" s="130" t="s">
        <v>1085</v>
      </c>
      <c r="D51" s="1112" t="s">
        <v>208</v>
      </c>
      <c r="E51" s="130">
        <v>3</v>
      </c>
      <c r="F51" s="100" t="str">
        <f t="shared" si="0"/>
        <v>ARCHITECTURE-23</v>
      </c>
      <c r="G51" s="100">
        <f t="shared" si="1"/>
        <v>6</v>
      </c>
      <c r="H51" s="133" t="e">
        <f t="shared" ca="1" si="5"/>
        <v>#VALUE!</v>
      </c>
      <c r="I51" s="133">
        <f t="shared" ca="1" si="2"/>
        <v>0</v>
      </c>
      <c r="J51" s="136" t="s">
        <v>374</v>
      </c>
      <c r="K51" s="107" t="s">
        <v>76</v>
      </c>
      <c r="L51" s="21">
        <f t="shared" ca="1" si="26"/>
        <v>0</v>
      </c>
      <c r="M51" s="21">
        <f t="shared" ca="1" si="26"/>
        <v>0</v>
      </c>
      <c r="N51" s="21">
        <f t="shared" ca="1" si="26"/>
        <v>0</v>
      </c>
      <c r="O51" s="108">
        <f t="shared" ca="1" si="12"/>
        <v>0</v>
      </c>
      <c r="P51" s="110"/>
      <c r="Q51" s="95"/>
      <c r="R51" s="95"/>
      <c r="S51" s="95"/>
      <c r="T51" s="95"/>
      <c r="U51" s="95"/>
      <c r="V51" s="95"/>
      <c r="W51" s="1121" t="str">
        <f ca="1">AB51&amp;"-"&amp;COUNTIF($AB$2:$AB51,$AB51)</f>
        <v>0-3-0-12</v>
      </c>
      <c r="X51" s="1121" t="s">
        <v>1085</v>
      </c>
      <c r="Y51" s="1123">
        <f t="shared" ca="1" si="21"/>
        <v>0</v>
      </c>
      <c r="Z51" s="1126">
        <v>3</v>
      </c>
      <c r="AA51" s="1123">
        <f t="shared" ca="1" si="4"/>
        <v>0</v>
      </c>
      <c r="AB51" s="1125" t="str">
        <f t="shared" ca="1" si="7"/>
        <v>0-3-0</v>
      </c>
    </row>
    <row r="52" spans="1:28" ht="15" customHeight="1" x14ac:dyDescent="0.2">
      <c r="A52" s="130" t="s">
        <v>80</v>
      </c>
      <c r="B52" s="130" t="s">
        <v>124</v>
      </c>
      <c r="C52" s="130" t="s">
        <v>1086</v>
      </c>
      <c r="D52" s="1112" t="s">
        <v>210</v>
      </c>
      <c r="E52" s="130">
        <v>3</v>
      </c>
      <c r="F52" s="100" t="str">
        <f t="shared" si="0"/>
        <v>ARCHITECTURE-23</v>
      </c>
      <c r="G52" s="100">
        <f t="shared" si="1"/>
        <v>6</v>
      </c>
      <c r="H52" s="133" t="e">
        <f t="shared" ca="1" si="5"/>
        <v>#VALUE!</v>
      </c>
      <c r="I52" s="133">
        <f t="shared" ca="1" si="2"/>
        <v>0</v>
      </c>
      <c r="J52" s="136" t="s">
        <v>375</v>
      </c>
      <c r="K52" s="107" t="s">
        <v>79</v>
      </c>
      <c r="L52" s="111">
        <v>1</v>
      </c>
      <c r="M52" s="21">
        <f t="shared" ca="1" si="26"/>
        <v>0</v>
      </c>
      <c r="N52" s="21">
        <f t="shared" ca="1" si="26"/>
        <v>0</v>
      </c>
      <c r="O52" s="108">
        <f t="shared" ca="1" si="12"/>
        <v>1</v>
      </c>
      <c r="P52" s="110"/>
      <c r="Q52" s="95"/>
      <c r="R52" s="715"/>
      <c r="S52" s="95"/>
      <c r="T52" s="95"/>
      <c r="U52" s="95"/>
      <c r="V52" s="95"/>
      <c r="W52" s="1121" t="str">
        <f ca="1">AB52&amp;"-"&amp;COUNTIF($AB$2:$AB52,$AB52)</f>
        <v>0-3-0-13</v>
      </c>
      <c r="X52" s="1121" t="s">
        <v>1086</v>
      </c>
      <c r="Y52" s="1123">
        <f t="shared" ca="1" si="21"/>
        <v>0</v>
      </c>
      <c r="Z52" s="1126">
        <v>3</v>
      </c>
      <c r="AA52" s="1123">
        <f t="shared" ca="1" si="4"/>
        <v>0</v>
      </c>
      <c r="AB52" s="1125" t="str">
        <f t="shared" ca="1" si="7"/>
        <v>0-3-0</v>
      </c>
    </row>
    <row r="53" spans="1:28" ht="15" customHeight="1" x14ac:dyDescent="0.2">
      <c r="A53" s="130" t="s">
        <v>80</v>
      </c>
      <c r="B53" s="130" t="s">
        <v>124</v>
      </c>
      <c r="C53" s="130" t="s">
        <v>1087</v>
      </c>
      <c r="D53" s="1112" t="s">
        <v>212</v>
      </c>
      <c r="E53" s="130">
        <v>3</v>
      </c>
      <c r="F53" s="100" t="str">
        <f t="shared" si="0"/>
        <v>ARCHITECTURE-23</v>
      </c>
      <c r="G53" s="100">
        <f t="shared" si="1"/>
        <v>6</v>
      </c>
      <c r="H53" s="133" t="e">
        <f t="shared" ca="1" si="5"/>
        <v>#VALUE!</v>
      </c>
      <c r="I53" s="133">
        <f t="shared" ca="1" si="2"/>
        <v>0</v>
      </c>
      <c r="J53" s="136" t="s">
        <v>376</v>
      </c>
      <c r="K53" s="101" t="s">
        <v>77</v>
      </c>
      <c r="L53" s="794">
        <f ca="1">SUMIF($F:$F,CONCATENATE($K53,"-","?",L$1),$I:$I) /COUNTIF($F:$F,CONCATENATE($K53,"-","?",L$1))</f>
        <v>0</v>
      </c>
      <c r="M53" s="794">
        <f ca="1">SUMIF($F:$F,CONCATENATE($K53,"-","?",M$1),$I:$I) /COUNTIF($F:$F,CONCATENATE($K53,"-","?",M$1))</f>
        <v>0</v>
      </c>
      <c r="N53" s="794">
        <f ca="1">SUMIF($F:$F,CONCATENATE($K53,"-","?",N$1),$I:$I) /COUNTIF($F:$F,CONCATENATE($K53,"-","?",N$1))</f>
        <v>0</v>
      </c>
      <c r="O53" s="102">
        <f ca="1">MIN(O54:O58)</f>
        <v>0</v>
      </c>
      <c r="P53" s="110"/>
      <c r="Q53" s="95"/>
      <c r="R53" s="716"/>
      <c r="S53" s="95"/>
      <c r="T53" s="95"/>
      <c r="U53" s="95"/>
      <c r="V53" s="95"/>
      <c r="W53" s="1121" t="str">
        <f ca="1">AB53&amp;"-"&amp;COUNTIF($AB$2:$AB53,$AB53)</f>
        <v>0-3-0-14</v>
      </c>
      <c r="X53" s="1121" t="s">
        <v>1087</v>
      </c>
      <c r="Y53" s="1123">
        <f t="shared" ca="1" si="21"/>
        <v>0</v>
      </c>
      <c r="Z53" s="1126">
        <v>3</v>
      </c>
      <c r="AA53" s="1123">
        <f t="shared" ca="1" si="4"/>
        <v>0</v>
      </c>
      <c r="AB53" s="1125" t="str">
        <f t="shared" ca="1" si="7"/>
        <v>0-3-0</v>
      </c>
    </row>
    <row r="54" spans="1:28" ht="15" customHeight="1" x14ac:dyDescent="0.2">
      <c r="A54" s="130" t="s">
        <v>80</v>
      </c>
      <c r="B54" s="130" t="s">
        <v>127</v>
      </c>
      <c r="C54" s="130" t="s">
        <v>357</v>
      </c>
      <c r="D54" s="1112" t="s">
        <v>22</v>
      </c>
      <c r="E54" s="130">
        <v>1</v>
      </c>
      <c r="F54" s="100" t="str">
        <f t="shared" si="0"/>
        <v>ARCHITECTURE-31</v>
      </c>
      <c r="G54" s="100">
        <f t="shared" si="1"/>
        <v>1</v>
      </c>
      <c r="H54" s="133" t="e">
        <f t="shared" ca="1" si="5"/>
        <v>#VALUE!</v>
      </c>
      <c r="I54" s="133">
        <f t="shared" ca="1" si="2"/>
        <v>0</v>
      </c>
      <c r="J54" s="136" t="s">
        <v>377</v>
      </c>
      <c r="K54" s="107" t="s">
        <v>110</v>
      </c>
      <c r="L54" s="21">
        <f t="shared" ref="L54:N57" ca="1" si="27">SUMIF($F:$F,CONCATENATE($K54,L$1),$I:$I) / VLOOKUP(CONCATENATE($K54,L$1),$F:$G,2,FALSE)</f>
        <v>0</v>
      </c>
      <c r="M54" s="21">
        <f ca="1">SUMIF($F:$F,CONCATENATE($K54,M$1),$I:$I) / VLOOKUP(CONCATENATE($K54,M$1),$F:$G,2,FALSE)</f>
        <v>0</v>
      </c>
      <c r="N54" s="21">
        <f ca="1">SUMIF($F:$F,CONCATENATE($K54,N$1),$I:$I) / VLOOKUP(CONCATENATE($K54,N$1),$F:$G,2,FALSE)</f>
        <v>0</v>
      </c>
      <c r="O54" s="108">
        <f t="shared" ca="1" si="12"/>
        <v>0</v>
      </c>
      <c r="P54" s="110"/>
      <c r="Q54" s="95"/>
      <c r="R54" s="717"/>
      <c r="S54" s="95"/>
      <c r="T54" s="95"/>
      <c r="U54" s="95"/>
      <c r="V54" s="95"/>
      <c r="W54" s="1121" t="str">
        <f ca="1">AB54&amp;"-"&amp;COUNTIF($AB$2:$AB54,$AB54)</f>
        <v>0-1-0-11</v>
      </c>
      <c r="X54" s="1121" t="s">
        <v>357</v>
      </c>
      <c r="Y54" s="1123">
        <f t="shared" ca="1" si="21"/>
        <v>0</v>
      </c>
      <c r="Z54" s="1126">
        <v>1</v>
      </c>
      <c r="AA54" s="1123">
        <f t="shared" ca="1" si="4"/>
        <v>0</v>
      </c>
      <c r="AB54" s="1125" t="str">
        <f t="shared" ca="1" si="7"/>
        <v>0-1-0</v>
      </c>
    </row>
    <row r="55" spans="1:28" ht="15" customHeight="1" x14ac:dyDescent="0.2">
      <c r="A55" s="130" t="s">
        <v>80</v>
      </c>
      <c r="B55" s="130" t="s">
        <v>127</v>
      </c>
      <c r="C55" s="130" t="s">
        <v>358</v>
      </c>
      <c r="D55" s="1112" t="s">
        <v>23</v>
      </c>
      <c r="E55" s="130">
        <v>2</v>
      </c>
      <c r="F55" s="100" t="str">
        <f t="shared" si="0"/>
        <v>ARCHITECTURE-32</v>
      </c>
      <c r="G55" s="100">
        <f t="shared" si="1"/>
        <v>7</v>
      </c>
      <c r="H55" s="133" t="e">
        <f t="shared" ca="1" si="5"/>
        <v>#VALUE!</v>
      </c>
      <c r="I55" s="133">
        <f t="shared" ca="1" si="2"/>
        <v>0</v>
      </c>
      <c r="J55" s="136" t="s">
        <v>378</v>
      </c>
      <c r="K55" s="107" t="s">
        <v>112</v>
      </c>
      <c r="L55" s="21">
        <f t="shared" ca="1" si="27"/>
        <v>0</v>
      </c>
      <c r="M55" s="21">
        <f ca="1">SUMIF($F:$F,CONCATENATE($K55,M$1),$I:$I) / VLOOKUP(CONCATENATE($K55,M$1),$F:$G,2,FALSE)</f>
        <v>0</v>
      </c>
      <c r="N55" s="21">
        <f ca="1">SUMIF($F:$F,CONCATENATE($K55,N$1),$I:$I) / VLOOKUP(CONCATENATE($K55,N$1),$F:$G,2,FALSE)</f>
        <v>0</v>
      </c>
      <c r="O55" s="108">
        <f t="shared" ca="1" si="12"/>
        <v>0</v>
      </c>
      <c r="R55" s="717"/>
      <c r="W55" s="1121" t="str">
        <f ca="1">AB55&amp;"-"&amp;COUNTIF($AB$2:$AB55,$AB55)</f>
        <v>0-2-0-23</v>
      </c>
      <c r="X55" s="1121" t="s">
        <v>358</v>
      </c>
      <c r="Y55" s="1123">
        <f t="shared" ca="1" si="21"/>
        <v>0</v>
      </c>
      <c r="Z55" s="1126">
        <v>2</v>
      </c>
      <c r="AA55" s="1123">
        <f t="shared" ca="1" si="4"/>
        <v>0</v>
      </c>
      <c r="AB55" s="1125" t="str">
        <f t="shared" ca="1" si="7"/>
        <v>0-2-0</v>
      </c>
    </row>
    <row r="56" spans="1:28" ht="15" customHeight="1" x14ac:dyDescent="0.2">
      <c r="A56" s="130" t="s">
        <v>80</v>
      </c>
      <c r="B56" s="130" t="s">
        <v>127</v>
      </c>
      <c r="C56" s="130" t="s">
        <v>359</v>
      </c>
      <c r="D56" s="1112" t="s">
        <v>24</v>
      </c>
      <c r="E56" s="130">
        <v>2</v>
      </c>
      <c r="F56" s="100" t="str">
        <f t="shared" si="0"/>
        <v>ARCHITECTURE-32</v>
      </c>
      <c r="G56" s="100">
        <f t="shared" si="1"/>
        <v>7</v>
      </c>
      <c r="H56" s="133" t="e">
        <f t="shared" ca="1" si="5"/>
        <v>#VALUE!</v>
      </c>
      <c r="I56" s="133">
        <f t="shared" ca="1" si="2"/>
        <v>0</v>
      </c>
      <c r="J56" s="136" t="s">
        <v>89</v>
      </c>
      <c r="K56" s="107" t="s">
        <v>114</v>
      </c>
      <c r="L56" s="21">
        <f t="shared" ca="1" si="27"/>
        <v>0</v>
      </c>
      <c r="M56" s="21">
        <f t="shared" ca="1" si="27"/>
        <v>0</v>
      </c>
      <c r="N56" s="21">
        <f t="shared" ca="1" si="27"/>
        <v>0</v>
      </c>
      <c r="O56" s="108">
        <f t="shared" ca="1" si="12"/>
        <v>0</v>
      </c>
      <c r="Q56" s="120"/>
      <c r="R56" s="717"/>
      <c r="S56" s="120"/>
      <c r="T56" s="120"/>
      <c r="U56" s="120"/>
      <c r="V56" s="120"/>
      <c r="W56" s="1121" t="str">
        <f ca="1">AB56&amp;"-"&amp;COUNTIF($AB$2:$AB56,$AB56)</f>
        <v>0-2-0-24</v>
      </c>
      <c r="X56" s="1121" t="s">
        <v>359</v>
      </c>
      <c r="Y56" s="1123">
        <f t="shared" ca="1" si="21"/>
        <v>0</v>
      </c>
      <c r="Z56" s="1126">
        <v>2</v>
      </c>
      <c r="AA56" s="1123">
        <f t="shared" ca="1" si="4"/>
        <v>0</v>
      </c>
      <c r="AB56" s="1125" t="str">
        <f t="shared" ca="1" si="7"/>
        <v>0-2-0</v>
      </c>
    </row>
    <row r="57" spans="1:28" ht="15" customHeight="1" x14ac:dyDescent="0.2">
      <c r="A57" s="130" t="s">
        <v>80</v>
      </c>
      <c r="B57" s="130" t="s">
        <v>127</v>
      </c>
      <c r="C57" s="130" t="s">
        <v>360</v>
      </c>
      <c r="D57" s="1112" t="s">
        <v>25</v>
      </c>
      <c r="E57" s="130">
        <v>2</v>
      </c>
      <c r="F57" s="100" t="str">
        <f t="shared" si="0"/>
        <v>ARCHITECTURE-32</v>
      </c>
      <c r="G57" s="100">
        <f t="shared" si="1"/>
        <v>7</v>
      </c>
      <c r="H57" s="133" t="e">
        <f t="shared" ca="1" si="5"/>
        <v>#VALUE!</v>
      </c>
      <c r="I57" s="133">
        <f t="shared" ca="1" si="2"/>
        <v>0</v>
      </c>
      <c r="J57" s="136" t="s">
        <v>91</v>
      </c>
      <c r="K57" s="107" t="s">
        <v>116</v>
      </c>
      <c r="L57" s="21">
        <f t="shared" ca="1" si="27"/>
        <v>0</v>
      </c>
      <c r="M57" s="21">
        <f t="shared" ca="1" si="27"/>
        <v>0</v>
      </c>
      <c r="N57" s="21">
        <f t="shared" ca="1" si="27"/>
        <v>0</v>
      </c>
      <c r="O57" s="108">
        <f t="shared" ca="1" si="12"/>
        <v>0</v>
      </c>
      <c r="R57" s="717"/>
      <c r="W57" s="1121" t="str">
        <f ca="1">AB57&amp;"-"&amp;COUNTIF($AB$2:$AB57,$AB57)</f>
        <v>0-2-0-25</v>
      </c>
      <c r="X57" s="1121" t="s">
        <v>360</v>
      </c>
      <c r="Y57" s="1123">
        <f t="shared" ca="1" si="21"/>
        <v>0</v>
      </c>
      <c r="Z57" s="1126">
        <v>2</v>
      </c>
      <c r="AA57" s="1123">
        <f t="shared" ca="1" si="4"/>
        <v>0</v>
      </c>
      <c r="AB57" s="1125" t="str">
        <f t="shared" ca="1" si="7"/>
        <v>0-2-0</v>
      </c>
    </row>
    <row r="58" spans="1:28" ht="15" customHeight="1" x14ac:dyDescent="0.2">
      <c r="A58" s="130" t="s">
        <v>80</v>
      </c>
      <c r="B58" s="130" t="s">
        <v>127</v>
      </c>
      <c r="C58" s="130" t="s">
        <v>1088</v>
      </c>
      <c r="D58" s="1112" t="s">
        <v>26</v>
      </c>
      <c r="E58" s="130">
        <v>2</v>
      </c>
      <c r="F58" s="100" t="str">
        <f t="shared" si="0"/>
        <v>ARCHITECTURE-32</v>
      </c>
      <c r="G58" s="100">
        <f t="shared" si="1"/>
        <v>7</v>
      </c>
      <c r="H58" s="133" t="e">
        <f t="shared" ca="1" si="5"/>
        <v>#VALUE!</v>
      </c>
      <c r="I58" s="133">
        <f t="shared" ca="1" si="2"/>
        <v>0</v>
      </c>
      <c r="J58" s="136" t="s">
        <v>92</v>
      </c>
      <c r="K58" s="107" t="s">
        <v>118</v>
      </c>
      <c r="L58" s="111">
        <v>1</v>
      </c>
      <c r="M58" s="21">
        <f ca="1">SUMIF($F:$F,CONCATENATE($K58,M$1),$I:$I) / VLOOKUP(CONCATENATE($K58,M$1),$F:$G,2,FALSE)</f>
        <v>0</v>
      </c>
      <c r="N58" s="21">
        <f ca="1">SUMIF($F:$F,CONCATENATE($K58,N$1),$I:$I) / VLOOKUP(CONCATENATE($K58,N$1),$F:$G,2,FALSE)</f>
        <v>0</v>
      </c>
      <c r="O58" s="108">
        <f t="shared" ca="1" si="12"/>
        <v>1</v>
      </c>
      <c r="R58" s="716"/>
      <c r="W58" s="1121" t="str">
        <f ca="1">AB58&amp;"-"&amp;COUNTIF($AB$2:$AB58,$AB58)</f>
        <v>0-2-0-26</v>
      </c>
      <c r="X58" s="1121" t="s">
        <v>1088</v>
      </c>
      <c r="Y58" s="1123">
        <f t="shared" ca="1" si="21"/>
        <v>0</v>
      </c>
      <c r="Z58" s="1126">
        <v>2</v>
      </c>
      <c r="AA58" s="1123">
        <f t="shared" ca="1" si="4"/>
        <v>0</v>
      </c>
      <c r="AB58" s="1125" t="str">
        <f t="shared" ca="1" si="7"/>
        <v>0-2-0</v>
      </c>
    </row>
    <row r="59" spans="1:28" ht="15" customHeight="1" x14ac:dyDescent="0.2">
      <c r="A59" s="130" t="s">
        <v>80</v>
      </c>
      <c r="B59" s="130" t="s">
        <v>127</v>
      </c>
      <c r="C59" s="130" t="s">
        <v>1089</v>
      </c>
      <c r="D59" s="1112" t="s">
        <v>27</v>
      </c>
      <c r="E59" s="130">
        <v>2</v>
      </c>
      <c r="F59" s="100" t="str">
        <f t="shared" si="0"/>
        <v>ARCHITECTURE-32</v>
      </c>
      <c r="G59" s="100">
        <f t="shared" si="1"/>
        <v>7</v>
      </c>
      <c r="H59" s="133" t="e">
        <f t="shared" ca="1" si="5"/>
        <v>#VALUE!</v>
      </c>
      <c r="I59" s="133">
        <f t="shared" ca="1" si="2"/>
        <v>0</v>
      </c>
      <c r="J59" s="136" t="s">
        <v>94</v>
      </c>
      <c r="R59" s="717"/>
      <c r="W59" s="1121" t="str">
        <f ca="1">AB59&amp;"-"&amp;COUNTIF($AB$2:$AB59,$AB59)</f>
        <v>0-2-0-27</v>
      </c>
      <c r="X59" s="1121" t="s">
        <v>1089</v>
      </c>
      <c r="Y59" s="1123">
        <f t="shared" ca="1" si="21"/>
        <v>0</v>
      </c>
      <c r="Z59" s="1126">
        <v>2</v>
      </c>
      <c r="AA59" s="1123">
        <f t="shared" ca="1" si="4"/>
        <v>0</v>
      </c>
      <c r="AB59" s="1125" t="str">
        <f t="shared" ca="1" si="7"/>
        <v>0-2-0</v>
      </c>
    </row>
    <row r="60" spans="1:28" ht="15" customHeight="1" thickBot="1" x14ac:dyDescent="0.25">
      <c r="A60" s="130" t="s">
        <v>80</v>
      </c>
      <c r="B60" s="130" t="s">
        <v>127</v>
      </c>
      <c r="C60" s="130" t="s">
        <v>1090</v>
      </c>
      <c r="D60" s="1112" t="s">
        <v>28</v>
      </c>
      <c r="E60" s="130">
        <v>2</v>
      </c>
      <c r="F60" s="100" t="str">
        <f t="shared" si="0"/>
        <v>ARCHITECTURE-32</v>
      </c>
      <c r="G60" s="100">
        <f t="shared" si="1"/>
        <v>7</v>
      </c>
      <c r="H60" s="133" t="e">
        <f t="shared" ca="1" si="5"/>
        <v>#VALUE!</v>
      </c>
      <c r="I60" s="133">
        <f t="shared" ca="1" si="2"/>
        <v>0</v>
      </c>
      <c r="J60" s="136" t="s">
        <v>96</v>
      </c>
      <c r="R60" s="717"/>
      <c r="W60" s="1121" t="str">
        <f ca="1">AB60&amp;"-"&amp;COUNTIF($AB$2:$AB60,$AB60)</f>
        <v>0-2-0-28</v>
      </c>
      <c r="X60" s="1121" t="s">
        <v>1090</v>
      </c>
      <c r="Y60" s="1123">
        <f t="shared" ca="1" si="21"/>
        <v>0</v>
      </c>
      <c r="Z60" s="1126">
        <v>2</v>
      </c>
      <c r="AA60" s="1123">
        <f t="shared" ca="1" si="4"/>
        <v>0</v>
      </c>
      <c r="AB60" s="1125" t="str">
        <f t="shared" ca="1" si="7"/>
        <v>0-2-0</v>
      </c>
    </row>
    <row r="61" spans="1:28" ht="15" customHeight="1" thickBot="1" x14ac:dyDescent="0.25">
      <c r="A61" s="130" t="s">
        <v>80</v>
      </c>
      <c r="B61" s="130" t="s">
        <v>127</v>
      </c>
      <c r="C61" s="130" t="s">
        <v>1091</v>
      </c>
      <c r="D61" s="1112" t="s">
        <v>244</v>
      </c>
      <c r="E61" s="130">
        <v>2</v>
      </c>
      <c r="F61" s="100" t="str">
        <f t="shared" si="0"/>
        <v>ARCHITECTURE-32</v>
      </c>
      <c r="G61" s="100">
        <f t="shared" si="1"/>
        <v>7</v>
      </c>
      <c r="H61" s="133" t="e">
        <f t="shared" ca="1" si="5"/>
        <v>#VALUE!</v>
      </c>
      <c r="I61" s="133">
        <f t="shared" ca="1" si="2"/>
        <v>0</v>
      </c>
      <c r="J61" s="136" t="s">
        <v>98</v>
      </c>
      <c r="O61" s="124">
        <f>Parameters!B3</f>
        <v>0.5</v>
      </c>
      <c r="R61" s="717"/>
      <c r="W61" s="1121" t="str">
        <f ca="1">AB61&amp;"-"&amp;COUNTIF($AB$2:$AB61,$AB61)</f>
        <v>0-2-0-29</v>
      </c>
      <c r="X61" s="1121" t="s">
        <v>1091</v>
      </c>
      <c r="Y61" s="1123">
        <f t="shared" ca="1" si="21"/>
        <v>0</v>
      </c>
      <c r="Z61" s="1126">
        <v>2</v>
      </c>
      <c r="AA61" s="1123">
        <f t="shared" ca="1" si="4"/>
        <v>0</v>
      </c>
      <c r="AB61" s="1125" t="str">
        <f t="shared" ca="1" si="7"/>
        <v>0-2-0</v>
      </c>
    </row>
    <row r="62" spans="1:28" ht="15" customHeight="1" x14ac:dyDescent="0.2">
      <c r="A62" s="130" t="s">
        <v>80</v>
      </c>
      <c r="B62" s="130" t="s">
        <v>127</v>
      </c>
      <c r="C62" s="130" t="s">
        <v>1092</v>
      </c>
      <c r="D62" s="1112" t="s">
        <v>277</v>
      </c>
      <c r="E62" s="130">
        <v>3</v>
      </c>
      <c r="F62" s="100" t="str">
        <f t="shared" si="0"/>
        <v>ARCHITECTURE-33</v>
      </c>
      <c r="G62" s="100">
        <f t="shared" si="1"/>
        <v>2</v>
      </c>
      <c r="H62" s="133" t="e">
        <f t="shared" ca="1" si="5"/>
        <v>#VALUE!</v>
      </c>
      <c r="I62" s="133">
        <f t="shared" ca="1" si="2"/>
        <v>0</v>
      </c>
      <c r="J62" s="136" t="s">
        <v>100</v>
      </c>
      <c r="O62" s="137" t="s">
        <v>776</v>
      </c>
      <c r="R62" s="717"/>
      <c r="W62" s="1121" t="str">
        <f ca="1">AB62&amp;"-"&amp;COUNTIF($AB$2:$AB62,$AB62)</f>
        <v>0-3-0-15</v>
      </c>
      <c r="X62" s="1121" t="s">
        <v>1092</v>
      </c>
      <c r="Y62" s="1123">
        <f t="shared" ca="1" si="21"/>
        <v>0</v>
      </c>
      <c r="Z62" s="1126">
        <v>3</v>
      </c>
      <c r="AA62" s="1123">
        <f t="shared" ca="1" si="4"/>
        <v>0</v>
      </c>
      <c r="AB62" s="1125" t="str">
        <f t="shared" ca="1" si="7"/>
        <v>0-3-0</v>
      </c>
    </row>
    <row r="63" spans="1:28" ht="15" customHeight="1" x14ac:dyDescent="0.2">
      <c r="A63" s="130" t="s">
        <v>80</v>
      </c>
      <c r="B63" s="130" t="s">
        <v>127</v>
      </c>
      <c r="C63" s="130" t="s">
        <v>1093</v>
      </c>
      <c r="D63" s="1112" t="s">
        <v>279</v>
      </c>
      <c r="E63" s="130">
        <v>3</v>
      </c>
      <c r="F63" s="100" t="str">
        <f t="shared" si="0"/>
        <v>ARCHITECTURE-33</v>
      </c>
      <c r="G63" s="100">
        <f t="shared" si="1"/>
        <v>2</v>
      </c>
      <c r="H63" s="133" t="e">
        <f t="shared" ca="1" si="5"/>
        <v>#VALUE!</v>
      </c>
      <c r="I63" s="133">
        <f t="shared" ca="1" si="2"/>
        <v>0</v>
      </c>
      <c r="J63" s="136" t="s">
        <v>101</v>
      </c>
      <c r="R63" s="717"/>
      <c r="W63" s="1121" t="str">
        <f ca="1">AB63&amp;"-"&amp;COUNTIF($AB$2:$AB63,$AB63)</f>
        <v>0-3-0-16</v>
      </c>
      <c r="X63" s="1121" t="s">
        <v>1093</v>
      </c>
      <c r="Y63" s="1123">
        <f t="shared" ca="1" si="21"/>
        <v>0</v>
      </c>
      <c r="Z63" s="1126">
        <v>3</v>
      </c>
      <c r="AA63" s="1123">
        <f t="shared" ca="1" si="4"/>
        <v>0</v>
      </c>
      <c r="AB63" s="1125" t="str">
        <f t="shared" ca="1" si="7"/>
        <v>0-3-0</v>
      </c>
    </row>
    <row r="64" spans="1:28" ht="15" customHeight="1" thickBot="1" x14ac:dyDescent="0.25">
      <c r="A64" s="130" t="s">
        <v>80</v>
      </c>
      <c r="B64" s="130" t="s">
        <v>130</v>
      </c>
      <c r="C64" s="130" t="s">
        <v>361</v>
      </c>
      <c r="D64" s="1112" t="s">
        <v>123</v>
      </c>
      <c r="E64" s="130">
        <v>2</v>
      </c>
      <c r="F64" s="100" t="str">
        <f t="shared" si="0"/>
        <v>ARCHITECTURE-42</v>
      </c>
      <c r="G64" s="100">
        <f t="shared" si="1"/>
        <v>3</v>
      </c>
      <c r="H64" s="133" t="e">
        <f t="shared" ca="1" si="5"/>
        <v>#VALUE!</v>
      </c>
      <c r="I64" s="133">
        <f t="shared" ca="1" si="2"/>
        <v>0</v>
      </c>
      <c r="J64" s="136" t="s">
        <v>103</v>
      </c>
      <c r="L64" s="797" t="s">
        <v>2301</v>
      </c>
      <c r="R64" s="717"/>
      <c r="W64" s="1121" t="str">
        <f ca="1">AB64&amp;"-"&amp;COUNTIF($AB$2:$AB64,$AB64)</f>
        <v>1-2-0-3</v>
      </c>
      <c r="X64" s="1121" t="s">
        <v>361</v>
      </c>
      <c r="Y64" s="1123">
        <f t="shared" ca="1" si="21"/>
        <v>1</v>
      </c>
      <c r="Z64" s="1126">
        <v>2</v>
      </c>
      <c r="AA64" s="1123">
        <f t="shared" ca="1" si="4"/>
        <v>0</v>
      </c>
      <c r="AB64" s="1125" t="str">
        <f t="shared" ca="1" si="7"/>
        <v>1-2-0</v>
      </c>
    </row>
    <row r="65" spans="1:28" ht="15" customHeight="1" thickBot="1" x14ac:dyDescent="0.25">
      <c r="A65" s="130" t="s">
        <v>80</v>
      </c>
      <c r="B65" s="130" t="s">
        <v>130</v>
      </c>
      <c r="C65" s="130" t="s">
        <v>362</v>
      </c>
      <c r="D65" s="1112" t="s">
        <v>126</v>
      </c>
      <c r="E65" s="130">
        <v>2</v>
      </c>
      <c r="F65" s="100" t="str">
        <f t="shared" si="0"/>
        <v>ARCHITECTURE-42</v>
      </c>
      <c r="G65" s="100">
        <f t="shared" si="1"/>
        <v>3</v>
      </c>
      <c r="H65" s="133" t="e">
        <f t="shared" ca="1" si="5"/>
        <v>#VALUE!</v>
      </c>
      <c r="I65" s="133">
        <f t="shared" ca="1" si="2"/>
        <v>0</v>
      </c>
      <c r="J65" s="136" t="s">
        <v>105</v>
      </c>
      <c r="L65" s="94">
        <v>1</v>
      </c>
      <c r="M65" s="94">
        <v>2</v>
      </c>
      <c r="N65" s="94">
        <v>3</v>
      </c>
      <c r="O65" s="795" t="s">
        <v>2300</v>
      </c>
      <c r="P65" s="796"/>
      <c r="Q65" s="796"/>
      <c r="R65" s="796"/>
      <c r="W65" s="1121" t="str">
        <f ca="1">AB65&amp;"-"&amp;COUNTIF($AB$2:$AB65,$AB65)</f>
        <v>1-2-0-4</v>
      </c>
      <c r="X65" s="1121" t="s">
        <v>362</v>
      </c>
      <c r="Y65" s="1123">
        <f t="shared" ca="1" si="21"/>
        <v>1</v>
      </c>
      <c r="Z65" s="1126">
        <v>2</v>
      </c>
      <c r="AA65" s="1123">
        <f t="shared" ca="1" si="4"/>
        <v>0</v>
      </c>
      <c r="AB65" s="1125" t="str">
        <f t="shared" ca="1" si="7"/>
        <v>1-2-0</v>
      </c>
    </row>
    <row r="66" spans="1:28" ht="15" customHeight="1" x14ac:dyDescent="0.2">
      <c r="A66" s="130" t="s">
        <v>80</v>
      </c>
      <c r="B66" s="130" t="s">
        <v>130</v>
      </c>
      <c r="C66" s="130" t="s">
        <v>363</v>
      </c>
      <c r="D66" s="1112" t="s">
        <v>129</v>
      </c>
      <c r="E66" s="130">
        <v>2</v>
      </c>
      <c r="F66" s="100" t="str">
        <f t="shared" ref="F66:F129" si="28">CONCATENATE($B66,$E66)</f>
        <v>ARCHITECTURE-42</v>
      </c>
      <c r="G66" s="100">
        <f t="shared" ref="G66:G129" si="29">COUNTIF($F:$F,$F66)</f>
        <v>3</v>
      </c>
      <c r="H66" s="133" t="e">
        <f t="shared" ca="1" si="5"/>
        <v>#VALUE!</v>
      </c>
      <c r="I66" s="133">
        <f t="shared" ref="I66:I129" ca="1" si="30">IFERROR(IF(H66&gt;2,1,0),0)</f>
        <v>0</v>
      </c>
      <c r="J66" s="136" t="s">
        <v>107</v>
      </c>
      <c r="K66" s="101" t="s">
        <v>61</v>
      </c>
      <c r="L66" s="791">
        <f>SUM(L67:L70)</f>
        <v>8</v>
      </c>
      <c r="M66" s="791">
        <f>SUM(M67:M70)</f>
        <v>14</v>
      </c>
      <c r="N66" s="791">
        <f>SUM(N67:N70)</f>
        <v>8</v>
      </c>
      <c r="O66" s="793">
        <f>SUM(L66:N66)</f>
        <v>30</v>
      </c>
      <c r="R66" s="717"/>
      <c r="W66" s="1121" t="str">
        <f ca="1">AB66&amp;"-"&amp;COUNTIF($AB$2:$AB66,$AB66)</f>
        <v>1-2-0-5</v>
      </c>
      <c r="X66" s="1121" t="s">
        <v>363</v>
      </c>
      <c r="Y66" s="1123">
        <f t="shared" ref="Y66:Y97" ca="1" si="31">VLOOKUP(LEFT($X66,LEN($X66)-1),$K:$O,5,FALSE)</f>
        <v>1</v>
      </c>
      <c r="Z66" s="1126">
        <v>2</v>
      </c>
      <c r="AA66" s="1123">
        <f t="shared" ref="AA66:AA129" ca="1" si="32">VLOOKUP(X66,C:I,7,FALSE)</f>
        <v>0</v>
      </c>
      <c r="AB66" s="1125" t="str">
        <f t="shared" ca="1" si="7"/>
        <v>1-2-0</v>
      </c>
    </row>
    <row r="67" spans="1:28" ht="15" customHeight="1" x14ac:dyDescent="0.2">
      <c r="A67" s="130" t="s">
        <v>80</v>
      </c>
      <c r="B67" s="130" t="s">
        <v>130</v>
      </c>
      <c r="C67" s="130" t="s">
        <v>364</v>
      </c>
      <c r="D67" s="1112" t="s">
        <v>132</v>
      </c>
      <c r="E67" s="130">
        <v>3</v>
      </c>
      <c r="F67" s="100" t="str">
        <f t="shared" si="28"/>
        <v>ARCHITECTURE-43</v>
      </c>
      <c r="G67" s="100">
        <f t="shared" si="29"/>
        <v>5</v>
      </c>
      <c r="H67" s="133" t="e">
        <f t="shared" ref="H67:H130" ca="1" si="33">INT(LEFT(
VLOOKUP($D67, INDIRECT("'"&amp;$A67&amp;"'!"&amp;"$D:$G"), 4,FALSE), 1)
)</f>
        <v>#VALUE!</v>
      </c>
      <c r="I67" s="133">
        <f t="shared" ca="1" si="30"/>
        <v>0</v>
      </c>
      <c r="J67" s="136" t="s">
        <v>108</v>
      </c>
      <c r="K67" s="107" t="s">
        <v>63</v>
      </c>
      <c r="L67" s="790">
        <f>VLOOKUP(CONCATENATE($K67,L$1),$F:$G,2,FALSE)</f>
        <v>3</v>
      </c>
      <c r="M67" s="790">
        <f>VLOOKUP(CONCATENATE($K67,M$1),$F:$G,2,FALSE)</f>
        <v>3</v>
      </c>
      <c r="N67" s="790">
        <v>0</v>
      </c>
      <c r="O67" s="792">
        <f t="shared" ref="O67:O122" si="34">SUM(L67:N67)</f>
        <v>6</v>
      </c>
      <c r="R67" s="717"/>
      <c r="W67" s="1121" t="str">
        <f ca="1">AB67&amp;"-"&amp;COUNTIF($AB$2:$AB67,$AB67)</f>
        <v>1-3-0-5</v>
      </c>
      <c r="X67" s="1121" t="s">
        <v>364</v>
      </c>
      <c r="Y67" s="1123">
        <f t="shared" ca="1" si="31"/>
        <v>1</v>
      </c>
      <c r="Z67" s="1126">
        <v>3</v>
      </c>
      <c r="AA67" s="1123">
        <f t="shared" ca="1" si="32"/>
        <v>0</v>
      </c>
      <c r="AB67" s="1125" t="str">
        <f t="shared" ref="AB67:AB130" ca="1" si="35">Y67&amp;"-"&amp;Z67&amp;"-"&amp;AA67</f>
        <v>1-3-0</v>
      </c>
    </row>
    <row r="68" spans="1:28" ht="15" customHeight="1" x14ac:dyDescent="0.2">
      <c r="A68" s="130" t="s">
        <v>80</v>
      </c>
      <c r="B68" s="130" t="s">
        <v>130</v>
      </c>
      <c r="C68" s="130" t="s">
        <v>365</v>
      </c>
      <c r="D68" s="1112" t="s">
        <v>135</v>
      </c>
      <c r="E68" s="130">
        <v>3</v>
      </c>
      <c r="F68" s="100" t="str">
        <f t="shared" si="28"/>
        <v>ARCHITECTURE-43</v>
      </c>
      <c r="G68" s="100">
        <f t="shared" si="29"/>
        <v>5</v>
      </c>
      <c r="H68" s="133" t="e">
        <f t="shared" ca="1" si="33"/>
        <v>#VALUE!</v>
      </c>
      <c r="I68" s="133">
        <f t="shared" ca="1" si="30"/>
        <v>0</v>
      </c>
      <c r="J68" s="136" t="s">
        <v>111</v>
      </c>
      <c r="K68" s="107" t="s">
        <v>65</v>
      </c>
      <c r="L68" s="790">
        <f t="shared" ref="L68:N70" si="36">VLOOKUP(CONCATENATE($K68,L$1),$F:$G,2,FALSE)</f>
        <v>2</v>
      </c>
      <c r="M68" s="790">
        <f t="shared" si="36"/>
        <v>5</v>
      </c>
      <c r="N68" s="790">
        <f t="shared" si="36"/>
        <v>2</v>
      </c>
      <c r="O68" s="792">
        <f t="shared" si="34"/>
        <v>9</v>
      </c>
      <c r="R68" s="717"/>
      <c r="W68" s="1121" t="str">
        <f ca="1">AB68&amp;"-"&amp;COUNTIF($AB$2:$AB68,$AB68)</f>
        <v>1-3-0-6</v>
      </c>
      <c r="X68" s="1121" t="s">
        <v>365</v>
      </c>
      <c r="Y68" s="1123">
        <f t="shared" ca="1" si="31"/>
        <v>1</v>
      </c>
      <c r="Z68" s="1126">
        <v>3</v>
      </c>
      <c r="AA68" s="1123">
        <f t="shared" ca="1" si="32"/>
        <v>0</v>
      </c>
      <c r="AB68" s="1125" t="str">
        <f t="shared" ca="1" si="35"/>
        <v>1-3-0</v>
      </c>
    </row>
    <row r="69" spans="1:28" ht="15" customHeight="1" x14ac:dyDescent="0.2">
      <c r="A69" s="130" t="s">
        <v>80</v>
      </c>
      <c r="B69" s="130" t="s">
        <v>130</v>
      </c>
      <c r="C69" s="130" t="s">
        <v>366</v>
      </c>
      <c r="D69" s="1112" t="s">
        <v>137</v>
      </c>
      <c r="E69" s="130">
        <v>3</v>
      </c>
      <c r="F69" s="100" t="str">
        <f t="shared" si="28"/>
        <v>ARCHITECTURE-43</v>
      </c>
      <c r="G69" s="100">
        <f t="shared" si="29"/>
        <v>5</v>
      </c>
      <c r="H69" s="133" t="e">
        <f t="shared" ca="1" si="33"/>
        <v>#VALUE!</v>
      </c>
      <c r="I69" s="133">
        <f t="shared" ca="1" si="30"/>
        <v>0</v>
      </c>
      <c r="J69" s="136" t="s">
        <v>113</v>
      </c>
      <c r="K69" s="107" t="s">
        <v>68</v>
      </c>
      <c r="L69" s="790">
        <f t="shared" si="36"/>
        <v>3</v>
      </c>
      <c r="M69" s="790">
        <f t="shared" si="36"/>
        <v>4</v>
      </c>
      <c r="N69" s="790">
        <f t="shared" si="36"/>
        <v>2</v>
      </c>
      <c r="O69" s="792">
        <f t="shared" si="34"/>
        <v>9</v>
      </c>
      <c r="R69" s="717"/>
      <c r="W69" s="1121" t="str">
        <f ca="1">AB69&amp;"-"&amp;COUNTIF($AB$2:$AB69,$AB69)</f>
        <v>1-3-0-7</v>
      </c>
      <c r="X69" s="1121" t="s">
        <v>366</v>
      </c>
      <c r="Y69" s="1123">
        <f t="shared" ca="1" si="31"/>
        <v>1</v>
      </c>
      <c r="Z69" s="1126">
        <v>3</v>
      </c>
      <c r="AA69" s="1123">
        <f t="shared" ca="1" si="32"/>
        <v>0</v>
      </c>
      <c r="AB69" s="1125" t="str">
        <f t="shared" ca="1" si="35"/>
        <v>1-3-0</v>
      </c>
    </row>
    <row r="70" spans="1:28" ht="15" customHeight="1" x14ac:dyDescent="0.2">
      <c r="A70" s="130" t="s">
        <v>80</v>
      </c>
      <c r="B70" s="130" t="s">
        <v>130</v>
      </c>
      <c r="C70" s="130" t="s">
        <v>367</v>
      </c>
      <c r="D70" s="1112" t="s">
        <v>252</v>
      </c>
      <c r="E70" s="130">
        <v>3</v>
      </c>
      <c r="F70" s="100" t="str">
        <f t="shared" si="28"/>
        <v>ARCHITECTURE-43</v>
      </c>
      <c r="G70" s="100">
        <f t="shared" si="29"/>
        <v>5</v>
      </c>
      <c r="H70" s="133" t="e">
        <f t="shared" ca="1" si="33"/>
        <v>#VALUE!</v>
      </c>
      <c r="I70" s="133">
        <f t="shared" ca="1" si="30"/>
        <v>0</v>
      </c>
      <c r="J70" s="136" t="s">
        <v>115</v>
      </c>
      <c r="K70" s="107" t="s">
        <v>1103</v>
      </c>
      <c r="L70" s="790">
        <v>0</v>
      </c>
      <c r="M70" s="790">
        <f t="shared" si="36"/>
        <v>2</v>
      </c>
      <c r="N70" s="790">
        <f t="shared" si="36"/>
        <v>4</v>
      </c>
      <c r="O70" s="792">
        <f t="shared" si="34"/>
        <v>6</v>
      </c>
      <c r="R70" s="717"/>
      <c r="W70" s="1121" t="str">
        <f ca="1">AB70&amp;"-"&amp;COUNTIF($AB$2:$AB70,$AB70)</f>
        <v>1-3-0-8</v>
      </c>
      <c r="X70" s="1121" t="s">
        <v>367</v>
      </c>
      <c r="Y70" s="1123">
        <f t="shared" ca="1" si="31"/>
        <v>1</v>
      </c>
      <c r="Z70" s="1126">
        <v>3</v>
      </c>
      <c r="AA70" s="1123">
        <f t="shared" ca="1" si="32"/>
        <v>0</v>
      </c>
      <c r="AB70" s="1125" t="str">
        <f t="shared" ca="1" si="35"/>
        <v>1-3-0</v>
      </c>
    </row>
    <row r="71" spans="1:28" ht="15" customHeight="1" x14ac:dyDescent="0.2">
      <c r="A71" s="130" t="s">
        <v>80</v>
      </c>
      <c r="B71" s="130" t="s">
        <v>130</v>
      </c>
      <c r="C71" s="130" t="s">
        <v>368</v>
      </c>
      <c r="D71" s="1112" t="s">
        <v>369</v>
      </c>
      <c r="E71" s="130">
        <v>3</v>
      </c>
      <c r="F71" s="100" t="str">
        <f t="shared" si="28"/>
        <v>ARCHITECTURE-43</v>
      </c>
      <c r="G71" s="100">
        <f t="shared" si="29"/>
        <v>5</v>
      </c>
      <c r="H71" s="133" t="e">
        <f t="shared" ca="1" si="33"/>
        <v>#VALUE!</v>
      </c>
      <c r="I71" s="133">
        <f t="shared" ca="1" si="30"/>
        <v>0</v>
      </c>
      <c r="J71" s="136" t="s">
        <v>117</v>
      </c>
      <c r="K71" s="101" t="s">
        <v>80</v>
      </c>
      <c r="L71" s="791">
        <f>SUM(L72:L77)</f>
        <v>4</v>
      </c>
      <c r="M71" s="791">
        <f>SUM(M72:M77)</f>
        <v>27</v>
      </c>
      <c r="N71" s="791">
        <f>SUM(N72:N77)</f>
        <v>23</v>
      </c>
      <c r="O71" s="793">
        <f t="shared" si="34"/>
        <v>54</v>
      </c>
      <c r="R71" s="716"/>
      <c r="W71" s="1121" t="str">
        <f ca="1">AB71&amp;"-"&amp;COUNTIF($AB$2:$AB71,$AB71)</f>
        <v>1-3-0-9</v>
      </c>
      <c r="X71" s="1121" t="s">
        <v>368</v>
      </c>
      <c r="Y71" s="1123">
        <f t="shared" ca="1" si="31"/>
        <v>1</v>
      </c>
      <c r="Z71" s="1126">
        <v>3</v>
      </c>
      <c r="AA71" s="1123">
        <f t="shared" ca="1" si="32"/>
        <v>0</v>
      </c>
      <c r="AB71" s="1125" t="str">
        <f t="shared" ca="1" si="35"/>
        <v>1-3-0</v>
      </c>
    </row>
    <row r="72" spans="1:28" ht="15" customHeight="1" x14ac:dyDescent="0.2">
      <c r="A72" s="130" t="s">
        <v>80</v>
      </c>
      <c r="B72" s="130" t="s">
        <v>133</v>
      </c>
      <c r="C72" s="130" t="s">
        <v>372</v>
      </c>
      <c r="D72" s="1112" t="s">
        <v>140</v>
      </c>
      <c r="E72" s="130">
        <v>1</v>
      </c>
      <c r="F72" s="100" t="str">
        <f t="shared" si="28"/>
        <v>ARCHITECTURE-51</v>
      </c>
      <c r="G72" s="100">
        <f t="shared" si="29"/>
        <v>1</v>
      </c>
      <c r="H72" s="133" t="e">
        <f t="shared" ca="1" si="33"/>
        <v>#VALUE!</v>
      </c>
      <c r="I72" s="133">
        <f t="shared" ca="1" si="30"/>
        <v>0</v>
      </c>
      <c r="J72" s="136" t="s">
        <v>119</v>
      </c>
      <c r="K72" s="107" t="s">
        <v>121</v>
      </c>
      <c r="L72" s="790">
        <f>VLOOKUP(CONCATENATE($K72,L$1),$F:$G,2,FALSE)</f>
        <v>1</v>
      </c>
      <c r="M72" s="790">
        <f t="shared" ref="M72:N77" si="37">VLOOKUP(CONCATENATE($K72,M$1),$F:$G,2,FALSE)</f>
        <v>5</v>
      </c>
      <c r="N72" s="790">
        <f t="shared" si="37"/>
        <v>4</v>
      </c>
      <c r="O72" s="792">
        <f t="shared" si="34"/>
        <v>10</v>
      </c>
      <c r="R72" s="717"/>
      <c r="W72" s="1121" t="str">
        <f ca="1">AB72&amp;"-"&amp;COUNTIF($AB$2:$AB72,$AB72)</f>
        <v>0-1-0-12</v>
      </c>
      <c r="X72" s="1121" t="s">
        <v>372</v>
      </c>
      <c r="Y72" s="1123">
        <f t="shared" ca="1" si="31"/>
        <v>0</v>
      </c>
      <c r="Z72" s="1126">
        <v>1</v>
      </c>
      <c r="AA72" s="1123">
        <f t="shared" ca="1" si="32"/>
        <v>0</v>
      </c>
      <c r="AB72" s="1125" t="str">
        <f t="shared" ca="1" si="35"/>
        <v>0-1-0</v>
      </c>
    </row>
    <row r="73" spans="1:28" ht="15" customHeight="1" x14ac:dyDescent="0.2">
      <c r="A73" s="130" t="s">
        <v>80</v>
      </c>
      <c r="B73" s="130" t="s">
        <v>133</v>
      </c>
      <c r="C73" s="130" t="s">
        <v>373</v>
      </c>
      <c r="D73" s="1112" t="s">
        <v>143</v>
      </c>
      <c r="E73" s="130">
        <v>2</v>
      </c>
      <c r="F73" s="100" t="str">
        <f t="shared" si="28"/>
        <v>ARCHITECTURE-52</v>
      </c>
      <c r="G73" s="100">
        <f t="shared" si="29"/>
        <v>5</v>
      </c>
      <c r="H73" s="133" t="e">
        <f t="shared" ca="1" si="33"/>
        <v>#VALUE!</v>
      </c>
      <c r="I73" s="133">
        <f t="shared" ca="1" si="30"/>
        <v>0</v>
      </c>
      <c r="J73" s="136" t="s">
        <v>120</v>
      </c>
      <c r="K73" s="107" t="s">
        <v>124</v>
      </c>
      <c r="L73" s="790">
        <f>VLOOKUP(CONCATENATE($K73,L$1),$F:$G,2,FALSE)</f>
        <v>1</v>
      </c>
      <c r="M73" s="790">
        <f t="shared" si="37"/>
        <v>5</v>
      </c>
      <c r="N73" s="790">
        <f t="shared" si="37"/>
        <v>6</v>
      </c>
      <c r="O73" s="792">
        <f t="shared" si="34"/>
        <v>12</v>
      </c>
      <c r="R73" s="717"/>
      <c r="W73" s="1121" t="str">
        <f ca="1">AB73&amp;"-"&amp;COUNTIF($AB$2:$AB73,$AB73)</f>
        <v>0-2-0-30</v>
      </c>
      <c r="X73" s="1121" t="s">
        <v>373</v>
      </c>
      <c r="Y73" s="1123">
        <f t="shared" ca="1" si="31"/>
        <v>0</v>
      </c>
      <c r="Z73" s="1126">
        <v>2</v>
      </c>
      <c r="AA73" s="1123">
        <f t="shared" ca="1" si="32"/>
        <v>0</v>
      </c>
      <c r="AB73" s="1125" t="str">
        <f t="shared" ca="1" si="35"/>
        <v>0-2-0</v>
      </c>
    </row>
    <row r="74" spans="1:28" ht="15" customHeight="1" x14ac:dyDescent="0.2">
      <c r="A74" s="130" t="s">
        <v>80</v>
      </c>
      <c r="B74" s="130" t="s">
        <v>133</v>
      </c>
      <c r="C74" s="130" t="s">
        <v>374</v>
      </c>
      <c r="D74" s="1112" t="s">
        <v>146</v>
      </c>
      <c r="E74" s="130">
        <v>2</v>
      </c>
      <c r="F74" s="100" t="str">
        <f t="shared" si="28"/>
        <v>ARCHITECTURE-52</v>
      </c>
      <c r="G74" s="100">
        <f t="shared" si="29"/>
        <v>5</v>
      </c>
      <c r="H74" s="133" t="e">
        <f t="shared" ca="1" si="33"/>
        <v>#VALUE!</v>
      </c>
      <c r="I74" s="133">
        <f t="shared" ca="1" si="30"/>
        <v>0</v>
      </c>
      <c r="J74" s="136" t="s">
        <v>122</v>
      </c>
      <c r="K74" s="107" t="s">
        <v>127</v>
      </c>
      <c r="L74" s="790">
        <f>VLOOKUP(CONCATENATE($K74,L$1),$F:$G,2,FALSE)</f>
        <v>1</v>
      </c>
      <c r="M74" s="790">
        <f t="shared" si="37"/>
        <v>7</v>
      </c>
      <c r="N74" s="790">
        <f t="shared" si="37"/>
        <v>2</v>
      </c>
      <c r="O74" s="792">
        <f t="shared" si="34"/>
        <v>10</v>
      </c>
      <c r="R74" s="717"/>
      <c r="W74" s="1121" t="str">
        <f ca="1">AB74&amp;"-"&amp;COUNTIF($AB$2:$AB74,$AB74)</f>
        <v>0-2-0-31</v>
      </c>
      <c r="X74" s="1121" t="s">
        <v>374</v>
      </c>
      <c r="Y74" s="1123">
        <f t="shared" ca="1" si="31"/>
        <v>0</v>
      </c>
      <c r="Z74" s="1126">
        <v>2</v>
      </c>
      <c r="AA74" s="1123">
        <f t="shared" ca="1" si="32"/>
        <v>0</v>
      </c>
      <c r="AB74" s="1125" t="str">
        <f t="shared" ca="1" si="35"/>
        <v>0-2-0</v>
      </c>
    </row>
    <row r="75" spans="1:28" ht="15" customHeight="1" x14ac:dyDescent="0.2">
      <c r="A75" s="130" t="s">
        <v>80</v>
      </c>
      <c r="B75" s="130" t="s">
        <v>133</v>
      </c>
      <c r="C75" s="130" t="s">
        <v>375</v>
      </c>
      <c r="D75" s="1112" t="s">
        <v>149</v>
      </c>
      <c r="E75" s="130">
        <v>2</v>
      </c>
      <c r="F75" s="100" t="str">
        <f t="shared" si="28"/>
        <v>ARCHITECTURE-52</v>
      </c>
      <c r="G75" s="100">
        <f t="shared" si="29"/>
        <v>5</v>
      </c>
      <c r="H75" s="133" t="e">
        <f t="shared" ca="1" si="33"/>
        <v>#VALUE!</v>
      </c>
      <c r="I75" s="133">
        <f t="shared" ca="1" si="30"/>
        <v>0</v>
      </c>
      <c r="J75" s="136" t="s">
        <v>125</v>
      </c>
      <c r="K75" s="107" t="s">
        <v>130</v>
      </c>
      <c r="L75" s="790">
        <v>0</v>
      </c>
      <c r="M75" s="790">
        <f t="shared" si="37"/>
        <v>3</v>
      </c>
      <c r="N75" s="790">
        <f t="shared" si="37"/>
        <v>5</v>
      </c>
      <c r="O75" s="792">
        <f t="shared" si="34"/>
        <v>8</v>
      </c>
      <c r="R75" s="716"/>
      <c r="W75" s="1121" t="str">
        <f ca="1">AB75&amp;"-"&amp;COUNTIF($AB$2:$AB75,$AB75)</f>
        <v>0-2-0-32</v>
      </c>
      <c r="X75" s="1121" t="s">
        <v>375</v>
      </c>
      <c r="Y75" s="1123">
        <f t="shared" ca="1" si="31"/>
        <v>0</v>
      </c>
      <c r="Z75" s="1126">
        <v>2</v>
      </c>
      <c r="AA75" s="1123">
        <f t="shared" ca="1" si="32"/>
        <v>0</v>
      </c>
      <c r="AB75" s="1125" t="str">
        <f t="shared" ca="1" si="35"/>
        <v>0-2-0</v>
      </c>
    </row>
    <row r="76" spans="1:28" ht="15" customHeight="1" x14ac:dyDescent="0.2">
      <c r="A76" s="130" t="s">
        <v>80</v>
      </c>
      <c r="B76" s="130" t="s">
        <v>133</v>
      </c>
      <c r="C76" s="130" t="s">
        <v>376</v>
      </c>
      <c r="D76" s="1112" t="s">
        <v>151</v>
      </c>
      <c r="E76" s="130">
        <v>2</v>
      </c>
      <c r="F76" s="100" t="str">
        <f t="shared" si="28"/>
        <v>ARCHITECTURE-52</v>
      </c>
      <c r="G76" s="100">
        <f t="shared" si="29"/>
        <v>5</v>
      </c>
      <c r="H76" s="133" t="e">
        <f t="shared" ca="1" si="33"/>
        <v>#VALUE!</v>
      </c>
      <c r="I76" s="133">
        <f t="shared" ca="1" si="30"/>
        <v>0</v>
      </c>
      <c r="J76" s="136" t="s">
        <v>128</v>
      </c>
      <c r="K76" s="107" t="s">
        <v>133</v>
      </c>
      <c r="L76" s="790">
        <f>VLOOKUP(CONCATENATE($K76,L$1),$F:$G,2,FALSE)</f>
        <v>1</v>
      </c>
      <c r="M76" s="790">
        <f t="shared" si="37"/>
        <v>5</v>
      </c>
      <c r="N76" s="790">
        <f t="shared" si="37"/>
        <v>2</v>
      </c>
      <c r="O76" s="792">
        <f t="shared" si="34"/>
        <v>8</v>
      </c>
      <c r="R76" s="717"/>
      <c r="W76" s="1121" t="str">
        <f ca="1">AB76&amp;"-"&amp;COUNTIF($AB$2:$AB76,$AB76)</f>
        <v>0-2-0-33</v>
      </c>
      <c r="X76" s="1121" t="s">
        <v>376</v>
      </c>
      <c r="Y76" s="1123">
        <f t="shared" ca="1" si="31"/>
        <v>0</v>
      </c>
      <c r="Z76" s="1126">
        <v>2</v>
      </c>
      <c r="AA76" s="1123">
        <f t="shared" ca="1" si="32"/>
        <v>0</v>
      </c>
      <c r="AB76" s="1125" t="str">
        <f t="shared" ca="1" si="35"/>
        <v>0-2-0</v>
      </c>
    </row>
    <row r="77" spans="1:28" ht="15" customHeight="1" x14ac:dyDescent="0.2">
      <c r="A77" s="130" t="s">
        <v>80</v>
      </c>
      <c r="B77" s="130" t="s">
        <v>133</v>
      </c>
      <c r="C77" s="130" t="s">
        <v>377</v>
      </c>
      <c r="D77" s="1112" t="s">
        <v>153</v>
      </c>
      <c r="E77" s="130">
        <v>2</v>
      </c>
      <c r="F77" s="100" t="str">
        <f t="shared" si="28"/>
        <v>ARCHITECTURE-52</v>
      </c>
      <c r="G77" s="100">
        <f t="shared" si="29"/>
        <v>5</v>
      </c>
      <c r="H77" s="133" t="e">
        <f t="shared" ca="1" si="33"/>
        <v>#VALUE!</v>
      </c>
      <c r="I77" s="133">
        <f t="shared" ca="1" si="30"/>
        <v>0</v>
      </c>
      <c r="J77" s="136" t="s">
        <v>131</v>
      </c>
      <c r="K77" s="107" t="s">
        <v>1114</v>
      </c>
      <c r="L77" s="790">
        <v>0</v>
      </c>
      <c r="M77" s="790">
        <f t="shared" si="37"/>
        <v>2</v>
      </c>
      <c r="N77" s="790">
        <f t="shared" si="37"/>
        <v>4</v>
      </c>
      <c r="O77" s="792">
        <f t="shared" si="34"/>
        <v>6</v>
      </c>
      <c r="R77" s="717"/>
      <c r="W77" s="1121" t="str">
        <f ca="1">AB77&amp;"-"&amp;COUNTIF($AB$2:$AB77,$AB77)</f>
        <v>0-2-0-34</v>
      </c>
      <c r="X77" s="1121" t="s">
        <v>377</v>
      </c>
      <c r="Y77" s="1123">
        <f t="shared" ca="1" si="31"/>
        <v>0</v>
      </c>
      <c r="Z77" s="1126">
        <v>2</v>
      </c>
      <c r="AA77" s="1123">
        <f t="shared" ca="1" si="32"/>
        <v>0</v>
      </c>
      <c r="AB77" s="1125" t="str">
        <f t="shared" ca="1" si="35"/>
        <v>0-2-0</v>
      </c>
    </row>
    <row r="78" spans="1:28" ht="15" customHeight="1" x14ac:dyDescent="0.2">
      <c r="A78" s="130" t="s">
        <v>80</v>
      </c>
      <c r="B78" s="130" t="s">
        <v>133</v>
      </c>
      <c r="C78" s="130" t="s">
        <v>378</v>
      </c>
      <c r="D78" s="1112" t="s">
        <v>156</v>
      </c>
      <c r="E78" s="130">
        <v>3</v>
      </c>
      <c r="F78" s="100" t="str">
        <f t="shared" si="28"/>
        <v>ARCHITECTURE-53</v>
      </c>
      <c r="G78" s="100">
        <f t="shared" si="29"/>
        <v>2</v>
      </c>
      <c r="H78" s="133" t="e">
        <f t="shared" ca="1" si="33"/>
        <v>#VALUE!</v>
      </c>
      <c r="I78" s="133">
        <f t="shared" ca="1" si="30"/>
        <v>0</v>
      </c>
      <c r="J78" s="136" t="s">
        <v>134</v>
      </c>
      <c r="K78" s="101" t="s">
        <v>48</v>
      </c>
      <c r="L78" s="791">
        <f>SUM(L79:L83)</f>
        <v>5</v>
      </c>
      <c r="M78" s="791">
        <f>SUM(M79:M83)</f>
        <v>13</v>
      </c>
      <c r="N78" s="791">
        <f>SUM(N79:N83)</f>
        <v>18</v>
      </c>
      <c r="O78" s="793">
        <f t="shared" si="34"/>
        <v>36</v>
      </c>
      <c r="R78" s="717"/>
      <c r="W78" s="1121" t="str">
        <f ca="1">AB78&amp;"-"&amp;COUNTIF($AB$2:$AB78,$AB78)</f>
        <v>0-3-0-17</v>
      </c>
      <c r="X78" s="1121" t="s">
        <v>378</v>
      </c>
      <c r="Y78" s="1123">
        <f t="shared" ca="1" si="31"/>
        <v>0</v>
      </c>
      <c r="Z78" s="1126">
        <v>3</v>
      </c>
      <c r="AA78" s="1123">
        <f t="shared" ca="1" si="32"/>
        <v>0</v>
      </c>
      <c r="AB78" s="1125" t="str">
        <f t="shared" ca="1" si="35"/>
        <v>0-3-0</v>
      </c>
    </row>
    <row r="79" spans="1:28" ht="15" customHeight="1" x14ac:dyDescent="0.2">
      <c r="A79" s="130" t="s">
        <v>80</v>
      </c>
      <c r="B79" s="130" t="s">
        <v>133</v>
      </c>
      <c r="C79" s="130" t="s">
        <v>1094</v>
      </c>
      <c r="D79" s="1112" t="s">
        <v>1113</v>
      </c>
      <c r="E79" s="130">
        <v>3</v>
      </c>
      <c r="F79" s="100" t="str">
        <f t="shared" si="28"/>
        <v>ARCHITECTURE-53</v>
      </c>
      <c r="G79" s="100">
        <f t="shared" si="29"/>
        <v>2</v>
      </c>
      <c r="H79" s="133" t="e">
        <f t="shared" ca="1" si="33"/>
        <v>#VALUE!</v>
      </c>
      <c r="I79" s="133">
        <f t="shared" ca="1" si="30"/>
        <v>0</v>
      </c>
      <c r="J79" s="136" t="s">
        <v>136</v>
      </c>
      <c r="K79" s="107" t="s">
        <v>50</v>
      </c>
      <c r="L79" s="790">
        <f>VLOOKUP(CONCATENATE($K79,L$1),$F:$G,2,FALSE)</f>
        <v>1</v>
      </c>
      <c r="M79" s="790">
        <f t="shared" ref="M79:N83" si="38">VLOOKUP(CONCATENATE($K79,M$1),$F:$G,2,FALSE)</f>
        <v>4</v>
      </c>
      <c r="N79" s="790">
        <f t="shared" si="38"/>
        <v>4</v>
      </c>
      <c r="O79" s="792">
        <f t="shared" si="34"/>
        <v>9</v>
      </c>
      <c r="R79" s="716"/>
      <c r="W79" s="1121" t="str">
        <f ca="1">AB79&amp;"-"&amp;COUNTIF($AB$2:$AB79,$AB79)</f>
        <v>0-3-0-18</v>
      </c>
      <c r="X79" s="1121" t="s">
        <v>1094</v>
      </c>
      <c r="Y79" s="1123">
        <f t="shared" ca="1" si="31"/>
        <v>0</v>
      </c>
      <c r="Z79" s="1126">
        <v>3</v>
      </c>
      <c r="AA79" s="1123">
        <f t="shared" ca="1" si="32"/>
        <v>0</v>
      </c>
      <c r="AB79" s="1125" t="str">
        <f t="shared" ca="1" si="35"/>
        <v>0-3-0</v>
      </c>
    </row>
    <row r="80" spans="1:28" ht="15" customHeight="1" x14ac:dyDescent="0.2">
      <c r="A80" s="130" t="s">
        <v>80</v>
      </c>
      <c r="B80" s="130" t="s">
        <v>1114</v>
      </c>
      <c r="C80" s="130" t="s">
        <v>1095</v>
      </c>
      <c r="D80" s="1112" t="s">
        <v>1115</v>
      </c>
      <c r="E80" s="130">
        <v>2</v>
      </c>
      <c r="F80" s="100" t="str">
        <f t="shared" si="28"/>
        <v>ARCHITECTURE-62</v>
      </c>
      <c r="G80" s="100">
        <f t="shared" si="29"/>
        <v>2</v>
      </c>
      <c r="H80" s="133" t="e">
        <f t="shared" ca="1" si="33"/>
        <v>#VALUE!</v>
      </c>
      <c r="I80" s="133">
        <f t="shared" ca="1" si="30"/>
        <v>0</v>
      </c>
      <c r="J80" s="136" t="s">
        <v>139</v>
      </c>
      <c r="K80" s="107" t="s">
        <v>52</v>
      </c>
      <c r="L80" s="790">
        <f>VLOOKUP(CONCATENATE($K80,L$1),$F:$G,2,FALSE)</f>
        <v>1</v>
      </c>
      <c r="M80" s="790">
        <f t="shared" si="38"/>
        <v>4</v>
      </c>
      <c r="N80" s="790">
        <f t="shared" si="38"/>
        <v>4</v>
      </c>
      <c r="O80" s="792">
        <f t="shared" si="34"/>
        <v>9</v>
      </c>
      <c r="R80" s="717"/>
      <c r="W80" s="1121" t="str">
        <f ca="1">AB80&amp;"-"&amp;COUNTIF($AB$2:$AB80,$AB80)</f>
        <v>1-2-0-6</v>
      </c>
      <c r="X80" s="1121" t="s">
        <v>1095</v>
      </c>
      <c r="Y80" s="1123">
        <f t="shared" ca="1" si="31"/>
        <v>1</v>
      </c>
      <c r="Z80" s="1126">
        <v>2</v>
      </c>
      <c r="AA80" s="1123">
        <f t="shared" ca="1" si="32"/>
        <v>0</v>
      </c>
      <c r="AB80" s="1125" t="str">
        <f t="shared" ca="1" si="35"/>
        <v>1-2-0</v>
      </c>
    </row>
    <row r="81" spans="1:28" ht="15" customHeight="1" x14ac:dyDescent="0.2">
      <c r="A81" s="130" t="s">
        <v>80</v>
      </c>
      <c r="B81" s="130" t="s">
        <v>1114</v>
      </c>
      <c r="C81" s="130" t="s">
        <v>1096</v>
      </c>
      <c r="D81" s="1112" t="s">
        <v>1116</v>
      </c>
      <c r="E81" s="130">
        <v>2</v>
      </c>
      <c r="F81" s="100" t="str">
        <f t="shared" si="28"/>
        <v>ARCHITECTURE-62</v>
      </c>
      <c r="G81" s="100">
        <f t="shared" si="29"/>
        <v>2</v>
      </c>
      <c r="H81" s="133" t="e">
        <f t="shared" ca="1" si="33"/>
        <v>#VALUE!</v>
      </c>
      <c r="I81" s="133">
        <f t="shared" ca="1" si="30"/>
        <v>0</v>
      </c>
      <c r="J81" s="136" t="s">
        <v>142</v>
      </c>
      <c r="K81" s="107" t="s">
        <v>54</v>
      </c>
      <c r="L81" s="790">
        <f>VLOOKUP(CONCATENATE($K81,L$1),$F:$G,2,FALSE)</f>
        <v>1</v>
      </c>
      <c r="M81" s="790">
        <f t="shared" si="38"/>
        <v>1</v>
      </c>
      <c r="N81" s="790">
        <f t="shared" si="38"/>
        <v>4</v>
      </c>
      <c r="O81" s="792">
        <f t="shared" si="34"/>
        <v>6</v>
      </c>
      <c r="R81" s="717"/>
      <c r="W81" s="1121" t="str">
        <f ca="1">AB81&amp;"-"&amp;COUNTIF($AB$2:$AB81,$AB81)</f>
        <v>1-2-0-7</v>
      </c>
      <c r="X81" s="1121" t="s">
        <v>1096</v>
      </c>
      <c r="Y81" s="1123">
        <f t="shared" ca="1" si="31"/>
        <v>1</v>
      </c>
      <c r="Z81" s="1126">
        <v>2</v>
      </c>
      <c r="AA81" s="1123">
        <f t="shared" ca="1" si="32"/>
        <v>0</v>
      </c>
      <c r="AB81" s="1125" t="str">
        <f t="shared" ca="1" si="35"/>
        <v>1-2-0</v>
      </c>
    </row>
    <row r="82" spans="1:28" ht="15" customHeight="1" x14ac:dyDescent="0.2">
      <c r="A82" s="130" t="s">
        <v>80</v>
      </c>
      <c r="B82" s="130" t="s">
        <v>1114</v>
      </c>
      <c r="C82" s="130" t="s">
        <v>1097</v>
      </c>
      <c r="D82" s="1112" t="s">
        <v>1117</v>
      </c>
      <c r="E82" s="130">
        <v>3</v>
      </c>
      <c r="F82" s="100" t="str">
        <f t="shared" si="28"/>
        <v>ARCHITECTURE-63</v>
      </c>
      <c r="G82" s="100">
        <f t="shared" si="29"/>
        <v>4</v>
      </c>
      <c r="H82" s="133" t="e">
        <f t="shared" ca="1" si="33"/>
        <v>#VALUE!</v>
      </c>
      <c r="I82" s="133">
        <f t="shared" ca="1" si="30"/>
        <v>0</v>
      </c>
      <c r="J82" s="136" t="s">
        <v>145</v>
      </c>
      <c r="K82" s="107" t="s">
        <v>56</v>
      </c>
      <c r="L82" s="790">
        <f>VLOOKUP(CONCATENATE($K82,L$1),$F:$G,2,FALSE)</f>
        <v>2</v>
      </c>
      <c r="M82" s="790">
        <f t="shared" si="38"/>
        <v>2</v>
      </c>
      <c r="N82" s="790">
        <f t="shared" si="38"/>
        <v>2</v>
      </c>
      <c r="O82" s="792">
        <f t="shared" si="34"/>
        <v>6</v>
      </c>
      <c r="R82" s="717"/>
      <c r="W82" s="1121" t="str">
        <f ca="1">AB82&amp;"-"&amp;COUNTIF($AB$2:$AB82,$AB82)</f>
        <v>1-3-0-10</v>
      </c>
      <c r="X82" s="1121" t="s">
        <v>1097</v>
      </c>
      <c r="Y82" s="1123">
        <f t="shared" ca="1" si="31"/>
        <v>1</v>
      </c>
      <c r="Z82" s="1126">
        <v>3</v>
      </c>
      <c r="AA82" s="1123">
        <f t="shared" ca="1" si="32"/>
        <v>0</v>
      </c>
      <c r="AB82" s="1125" t="str">
        <f t="shared" ca="1" si="35"/>
        <v>1-3-0</v>
      </c>
    </row>
    <row r="83" spans="1:28" ht="15" customHeight="1" x14ac:dyDescent="0.2">
      <c r="A83" s="130" t="s">
        <v>80</v>
      </c>
      <c r="B83" s="130" t="s">
        <v>1114</v>
      </c>
      <c r="C83" s="130" t="s">
        <v>1098</v>
      </c>
      <c r="D83" s="1112" t="s">
        <v>1118</v>
      </c>
      <c r="E83" s="130">
        <v>3</v>
      </c>
      <c r="F83" s="100" t="str">
        <f t="shared" si="28"/>
        <v>ARCHITECTURE-63</v>
      </c>
      <c r="G83" s="100">
        <f t="shared" si="29"/>
        <v>4</v>
      </c>
      <c r="H83" s="133" t="e">
        <f t="shared" ca="1" si="33"/>
        <v>#VALUE!</v>
      </c>
      <c r="I83" s="133">
        <f t="shared" ca="1" si="30"/>
        <v>0</v>
      </c>
      <c r="J83" s="136" t="s">
        <v>148</v>
      </c>
      <c r="K83" s="107" t="s">
        <v>59</v>
      </c>
      <c r="L83" s="790">
        <v>0</v>
      </c>
      <c r="M83" s="790">
        <f t="shared" si="38"/>
        <v>2</v>
      </c>
      <c r="N83" s="790">
        <f t="shared" si="38"/>
        <v>4</v>
      </c>
      <c r="O83" s="792">
        <f t="shared" si="34"/>
        <v>6</v>
      </c>
      <c r="R83" s="717"/>
      <c r="W83" s="1121" t="str">
        <f ca="1">AB83&amp;"-"&amp;COUNTIF($AB$2:$AB83,$AB83)</f>
        <v>1-3-0-11</v>
      </c>
      <c r="X83" s="1121" t="s">
        <v>1098</v>
      </c>
      <c r="Y83" s="1123">
        <f t="shared" ca="1" si="31"/>
        <v>1</v>
      </c>
      <c r="Z83" s="1126">
        <v>3</v>
      </c>
      <c r="AA83" s="1123">
        <f t="shared" ca="1" si="32"/>
        <v>0</v>
      </c>
      <c r="AB83" s="1125" t="str">
        <f t="shared" ca="1" si="35"/>
        <v>1-3-0</v>
      </c>
    </row>
    <row r="84" spans="1:28" ht="15" customHeight="1" x14ac:dyDescent="0.2">
      <c r="A84" s="130" t="s">
        <v>80</v>
      </c>
      <c r="B84" s="130" t="s">
        <v>1114</v>
      </c>
      <c r="C84" s="130" t="s">
        <v>1099</v>
      </c>
      <c r="D84" s="1112" t="s">
        <v>1119</v>
      </c>
      <c r="E84" s="130">
        <v>3</v>
      </c>
      <c r="F84" s="100" t="str">
        <f t="shared" si="28"/>
        <v>ARCHITECTURE-63</v>
      </c>
      <c r="G84" s="100">
        <f t="shared" si="29"/>
        <v>4</v>
      </c>
      <c r="H84" s="133" t="e">
        <f t="shared" ca="1" si="33"/>
        <v>#VALUE!</v>
      </c>
      <c r="I84" s="133">
        <f t="shared" ca="1" si="30"/>
        <v>0</v>
      </c>
      <c r="J84" s="136" t="s">
        <v>150</v>
      </c>
      <c r="K84" s="101" t="s">
        <v>57</v>
      </c>
      <c r="L84" s="791">
        <f>SUM(L85:L87)</f>
        <v>10</v>
      </c>
      <c r="M84" s="791">
        <f>SUM(M85:M87)</f>
        <v>12</v>
      </c>
      <c r="N84" s="791">
        <f>SUM(N85:N87)</f>
        <v>5</v>
      </c>
      <c r="O84" s="793">
        <f t="shared" si="34"/>
        <v>27</v>
      </c>
      <c r="R84" s="717"/>
      <c r="W84" s="1121" t="str">
        <f ca="1">AB84&amp;"-"&amp;COUNTIF($AB$2:$AB84,$AB84)</f>
        <v>1-3-0-12</v>
      </c>
      <c r="X84" s="1121" t="s">
        <v>1099</v>
      </c>
      <c r="Y84" s="1123">
        <f t="shared" ca="1" si="31"/>
        <v>1</v>
      </c>
      <c r="Z84" s="1126">
        <v>3</v>
      </c>
      <c r="AA84" s="1123">
        <f t="shared" ca="1" si="32"/>
        <v>0</v>
      </c>
      <c r="AB84" s="1125" t="str">
        <f t="shared" ca="1" si="35"/>
        <v>1-3-0</v>
      </c>
    </row>
    <row r="85" spans="1:28" ht="15" customHeight="1" x14ac:dyDescent="0.2">
      <c r="A85" s="130" t="s">
        <v>80</v>
      </c>
      <c r="B85" s="130" t="s">
        <v>1114</v>
      </c>
      <c r="C85" s="130" t="s">
        <v>1100</v>
      </c>
      <c r="D85" s="1112" t="s">
        <v>1120</v>
      </c>
      <c r="E85" s="130">
        <v>3</v>
      </c>
      <c r="F85" s="100" t="str">
        <f t="shared" si="28"/>
        <v>ARCHITECTURE-63</v>
      </c>
      <c r="G85" s="100">
        <f t="shared" si="29"/>
        <v>4</v>
      </c>
      <c r="H85" s="133" t="e">
        <f t="shared" ca="1" si="33"/>
        <v>#VALUE!</v>
      </c>
      <c r="I85" s="133">
        <f t="shared" ca="1" si="30"/>
        <v>0</v>
      </c>
      <c r="J85" s="136" t="s">
        <v>152</v>
      </c>
      <c r="K85" s="107" t="s">
        <v>154</v>
      </c>
      <c r="L85" s="790">
        <f>VLOOKUP(CONCATENATE($K85,L$1),$F:$G,2,FALSE)</f>
        <v>4</v>
      </c>
      <c r="M85" s="790">
        <f t="shared" ref="M85:N87" si="39">VLOOKUP(CONCATENATE($K85,M$1),$F:$G,2,FALSE)</f>
        <v>3</v>
      </c>
      <c r="N85" s="790">
        <f t="shared" si="39"/>
        <v>1</v>
      </c>
      <c r="O85" s="792">
        <f t="shared" si="34"/>
        <v>8</v>
      </c>
      <c r="R85" s="716"/>
      <c r="W85" s="1121" t="str">
        <f ca="1">AB85&amp;"-"&amp;COUNTIF($AB$2:$AB85,$AB85)</f>
        <v>1-3-0-13</v>
      </c>
      <c r="X85" s="1121" t="s">
        <v>1100</v>
      </c>
      <c r="Y85" s="1123">
        <f t="shared" ca="1" si="31"/>
        <v>1</v>
      </c>
      <c r="Z85" s="1126">
        <v>3</v>
      </c>
      <c r="AA85" s="1123">
        <f t="shared" ca="1" si="32"/>
        <v>0</v>
      </c>
      <c r="AB85" s="1125" t="str">
        <f t="shared" ca="1" si="35"/>
        <v>1-3-0</v>
      </c>
    </row>
    <row r="86" spans="1:28" ht="15" customHeight="1" x14ac:dyDescent="0.2">
      <c r="A86" s="417" t="s">
        <v>48</v>
      </c>
      <c r="B86" s="417" t="s">
        <v>50</v>
      </c>
      <c r="C86" s="417" t="s">
        <v>89</v>
      </c>
      <c r="D86" s="1111" t="s">
        <v>5</v>
      </c>
      <c r="E86" s="417">
        <v>1</v>
      </c>
      <c r="F86" s="100" t="str">
        <f t="shared" si="28"/>
        <v>ASSET-11</v>
      </c>
      <c r="G86" s="100">
        <f t="shared" si="29"/>
        <v>1</v>
      </c>
      <c r="H86" s="133" t="e">
        <f t="shared" ca="1" si="33"/>
        <v>#VALUE!</v>
      </c>
      <c r="I86" s="133">
        <f t="shared" ca="1" si="30"/>
        <v>0</v>
      </c>
      <c r="J86" s="136" t="s">
        <v>155</v>
      </c>
      <c r="K86" s="107" t="s">
        <v>157</v>
      </c>
      <c r="L86" s="790">
        <f>VLOOKUP(CONCATENATE($K86,L$1),$F:$G,2,FALSE)</f>
        <v>2</v>
      </c>
      <c r="M86" s="790">
        <f t="shared" si="39"/>
        <v>7</v>
      </c>
      <c r="N86" s="790">
        <f t="shared" si="39"/>
        <v>2</v>
      </c>
      <c r="O86" s="792">
        <f t="shared" si="34"/>
        <v>11</v>
      </c>
      <c r="R86" s="717"/>
      <c r="W86" s="1121" t="str">
        <f ca="1">AB86&amp;"-"&amp;COUNTIF($AB$2:$AB86,$AB86)</f>
        <v>0-1-0-13</v>
      </c>
      <c r="X86" s="1121" t="s">
        <v>89</v>
      </c>
      <c r="Y86" s="1123">
        <f t="shared" ca="1" si="31"/>
        <v>0</v>
      </c>
      <c r="Z86" s="1126">
        <v>1</v>
      </c>
      <c r="AA86" s="1123">
        <f t="shared" ca="1" si="32"/>
        <v>0</v>
      </c>
      <c r="AB86" s="1125" t="str">
        <f t="shared" ca="1" si="35"/>
        <v>0-1-0</v>
      </c>
    </row>
    <row r="87" spans="1:28" ht="15" customHeight="1" x14ac:dyDescent="0.2">
      <c r="A87" s="417" t="s">
        <v>48</v>
      </c>
      <c r="B87" s="417" t="s">
        <v>50</v>
      </c>
      <c r="C87" s="417" t="s">
        <v>91</v>
      </c>
      <c r="D87" s="1111" t="s">
        <v>7</v>
      </c>
      <c r="E87" s="417">
        <v>2</v>
      </c>
      <c r="F87" s="100" t="str">
        <f t="shared" si="28"/>
        <v>ASSET-12</v>
      </c>
      <c r="G87" s="100">
        <f t="shared" si="29"/>
        <v>4</v>
      </c>
      <c r="H87" s="133" t="e">
        <f t="shared" ca="1" si="33"/>
        <v>#VALUE!</v>
      </c>
      <c r="I87" s="133">
        <f t="shared" ca="1" si="30"/>
        <v>0</v>
      </c>
      <c r="J87" s="136" t="s">
        <v>419</v>
      </c>
      <c r="K87" s="107" t="s">
        <v>159</v>
      </c>
      <c r="L87" s="790">
        <f>VLOOKUP(CONCATENATE($K87,L$1),$F:$G,2,FALSE)</f>
        <v>4</v>
      </c>
      <c r="M87" s="790">
        <f t="shared" si="39"/>
        <v>2</v>
      </c>
      <c r="N87" s="790">
        <f t="shared" si="39"/>
        <v>2</v>
      </c>
      <c r="O87" s="792">
        <f t="shared" si="34"/>
        <v>8</v>
      </c>
      <c r="R87" s="717"/>
      <c r="W87" s="1121" t="str">
        <f ca="1">AB87&amp;"-"&amp;COUNTIF($AB$2:$AB87,$AB87)</f>
        <v>0-2-0-35</v>
      </c>
      <c r="X87" s="1121" t="s">
        <v>91</v>
      </c>
      <c r="Y87" s="1123">
        <f t="shared" ca="1" si="31"/>
        <v>0</v>
      </c>
      <c r="Z87" s="1126">
        <v>2</v>
      </c>
      <c r="AA87" s="1123">
        <f t="shared" ca="1" si="32"/>
        <v>0</v>
      </c>
      <c r="AB87" s="1125" t="str">
        <f t="shared" ca="1" si="35"/>
        <v>0-2-0</v>
      </c>
    </row>
    <row r="88" spans="1:28" ht="15" customHeight="1" x14ac:dyDescent="0.2">
      <c r="A88" s="417" t="s">
        <v>48</v>
      </c>
      <c r="B88" s="417" t="s">
        <v>50</v>
      </c>
      <c r="C88" s="417" t="s">
        <v>92</v>
      </c>
      <c r="D88" s="1111" t="s">
        <v>8</v>
      </c>
      <c r="E88" s="417">
        <v>2</v>
      </c>
      <c r="F88" s="100" t="str">
        <f t="shared" si="28"/>
        <v>ASSET-12</v>
      </c>
      <c r="G88" s="100">
        <f t="shared" si="29"/>
        <v>4</v>
      </c>
      <c r="H88" s="133" t="e">
        <f t="shared" ca="1" si="33"/>
        <v>#VALUE!</v>
      </c>
      <c r="I88" s="133">
        <f t="shared" ca="1" si="30"/>
        <v>0</v>
      </c>
      <c r="J88" s="136" t="s">
        <v>420</v>
      </c>
      <c r="K88" s="101" t="s">
        <v>82</v>
      </c>
      <c r="L88" s="791">
        <f>SUM(L89:L91)</f>
        <v>3</v>
      </c>
      <c r="M88" s="791">
        <f>SUM(M89:M91)</f>
        <v>14</v>
      </c>
      <c r="N88" s="791">
        <f>SUM(N89:N91)</f>
        <v>9</v>
      </c>
      <c r="O88" s="793">
        <f t="shared" si="34"/>
        <v>26</v>
      </c>
      <c r="R88" s="717"/>
      <c r="W88" s="1121" t="str">
        <f ca="1">AB88&amp;"-"&amp;COUNTIF($AB$2:$AB88,$AB88)</f>
        <v>0-2-0-36</v>
      </c>
      <c r="X88" s="1121" t="s">
        <v>92</v>
      </c>
      <c r="Y88" s="1123">
        <f t="shared" ca="1" si="31"/>
        <v>0</v>
      </c>
      <c r="Z88" s="1126">
        <v>2</v>
      </c>
      <c r="AA88" s="1123">
        <f t="shared" ca="1" si="32"/>
        <v>0</v>
      </c>
      <c r="AB88" s="1125" t="str">
        <f t="shared" ca="1" si="35"/>
        <v>0-2-0</v>
      </c>
    </row>
    <row r="89" spans="1:28" ht="15" customHeight="1" x14ac:dyDescent="0.2">
      <c r="A89" s="417" t="s">
        <v>48</v>
      </c>
      <c r="B89" s="417" t="s">
        <v>50</v>
      </c>
      <c r="C89" s="417" t="s">
        <v>94</v>
      </c>
      <c r="D89" s="1111" t="s">
        <v>9</v>
      </c>
      <c r="E89" s="417">
        <v>2</v>
      </c>
      <c r="F89" s="100" t="str">
        <f t="shared" si="28"/>
        <v>ASSET-12</v>
      </c>
      <c r="G89" s="100">
        <f t="shared" si="29"/>
        <v>4</v>
      </c>
      <c r="H89" s="133" t="e">
        <f t="shared" ca="1" si="33"/>
        <v>#VALUE!</v>
      </c>
      <c r="I89" s="133">
        <f t="shared" ca="1" si="30"/>
        <v>0</v>
      </c>
      <c r="J89" s="136" t="s">
        <v>421</v>
      </c>
      <c r="K89" s="107" t="s">
        <v>138</v>
      </c>
      <c r="L89" s="790">
        <f>VLOOKUP(CONCATENATE($K89,L$1),$F:$G,2,FALSE)</f>
        <v>1</v>
      </c>
      <c r="M89" s="790">
        <f t="shared" ref="M89:N91" si="40">VLOOKUP(CONCATENATE($K89,M$1),$F:$G,2,FALSE)</f>
        <v>6</v>
      </c>
      <c r="N89" s="790">
        <f t="shared" si="40"/>
        <v>1</v>
      </c>
      <c r="O89" s="792">
        <f t="shared" si="34"/>
        <v>8</v>
      </c>
      <c r="R89" s="717"/>
      <c r="W89" s="1121" t="str">
        <f ca="1">AB89&amp;"-"&amp;COUNTIF($AB$2:$AB89,$AB89)</f>
        <v>0-2-0-37</v>
      </c>
      <c r="X89" s="1121" t="s">
        <v>94</v>
      </c>
      <c r="Y89" s="1123">
        <f t="shared" ca="1" si="31"/>
        <v>0</v>
      </c>
      <c r="Z89" s="1126">
        <v>2</v>
      </c>
      <c r="AA89" s="1123">
        <f t="shared" ca="1" si="32"/>
        <v>0</v>
      </c>
      <c r="AB89" s="1125" t="str">
        <f t="shared" ca="1" si="35"/>
        <v>0-2-0</v>
      </c>
    </row>
    <row r="90" spans="1:28" ht="15" customHeight="1" x14ac:dyDescent="0.2">
      <c r="A90" s="417" t="s">
        <v>48</v>
      </c>
      <c r="B90" s="417" t="s">
        <v>50</v>
      </c>
      <c r="C90" s="417" t="s">
        <v>96</v>
      </c>
      <c r="D90" s="1111" t="s">
        <v>10</v>
      </c>
      <c r="E90" s="417">
        <v>2</v>
      </c>
      <c r="F90" s="100" t="str">
        <f t="shared" si="28"/>
        <v>ASSET-12</v>
      </c>
      <c r="G90" s="100">
        <f t="shared" si="29"/>
        <v>4</v>
      </c>
      <c r="H90" s="133" t="e">
        <f t="shared" ca="1" si="33"/>
        <v>#VALUE!</v>
      </c>
      <c r="I90" s="133">
        <f t="shared" ca="1" si="30"/>
        <v>0</v>
      </c>
      <c r="J90" s="136" t="s">
        <v>422</v>
      </c>
      <c r="K90" s="107" t="s">
        <v>141</v>
      </c>
      <c r="L90" s="790">
        <f>VLOOKUP(CONCATENATE($K90,L$1),$F:$G,2,FALSE)</f>
        <v>2</v>
      </c>
      <c r="M90" s="790">
        <f t="shared" si="40"/>
        <v>6</v>
      </c>
      <c r="N90" s="790">
        <f t="shared" si="40"/>
        <v>4</v>
      </c>
      <c r="O90" s="792">
        <f t="shared" si="34"/>
        <v>12</v>
      </c>
      <c r="R90" s="717"/>
      <c r="W90" s="1121" t="str">
        <f ca="1">AB90&amp;"-"&amp;COUNTIF($AB$2:$AB90,$AB90)</f>
        <v>0-2-0-38</v>
      </c>
      <c r="X90" s="1121" t="s">
        <v>96</v>
      </c>
      <c r="Y90" s="1123">
        <f t="shared" ca="1" si="31"/>
        <v>0</v>
      </c>
      <c r="Z90" s="1126">
        <v>2</v>
      </c>
      <c r="AA90" s="1123">
        <f t="shared" ca="1" si="32"/>
        <v>0</v>
      </c>
      <c r="AB90" s="1125" t="str">
        <f t="shared" ca="1" si="35"/>
        <v>0-2-0</v>
      </c>
    </row>
    <row r="91" spans="1:28" ht="15" customHeight="1" x14ac:dyDescent="0.2">
      <c r="A91" s="417" t="s">
        <v>48</v>
      </c>
      <c r="B91" s="417" t="s">
        <v>50</v>
      </c>
      <c r="C91" s="417" t="s">
        <v>98</v>
      </c>
      <c r="D91" s="1111" t="s">
        <v>11</v>
      </c>
      <c r="E91" s="417">
        <v>3</v>
      </c>
      <c r="F91" s="100" t="str">
        <f t="shared" si="28"/>
        <v>ASSET-13</v>
      </c>
      <c r="G91" s="100">
        <f t="shared" si="29"/>
        <v>4</v>
      </c>
      <c r="H91" s="133" t="e">
        <f t="shared" ca="1" si="33"/>
        <v>#VALUE!</v>
      </c>
      <c r="I91" s="133">
        <f t="shared" ca="1" si="30"/>
        <v>0</v>
      </c>
      <c r="J91" s="136" t="s">
        <v>423</v>
      </c>
      <c r="K91" s="107" t="s">
        <v>144</v>
      </c>
      <c r="L91" s="790">
        <v>0</v>
      </c>
      <c r="M91" s="790">
        <f t="shared" si="40"/>
        <v>2</v>
      </c>
      <c r="N91" s="790">
        <f t="shared" si="40"/>
        <v>4</v>
      </c>
      <c r="O91" s="792">
        <f t="shared" si="34"/>
        <v>6</v>
      </c>
      <c r="R91" s="716"/>
      <c r="W91" s="1121" t="str">
        <f ca="1">AB91&amp;"-"&amp;COUNTIF($AB$2:$AB91,$AB91)</f>
        <v>0-3-0-19</v>
      </c>
      <c r="X91" s="1121" t="s">
        <v>98</v>
      </c>
      <c r="Y91" s="1123">
        <f t="shared" ca="1" si="31"/>
        <v>0</v>
      </c>
      <c r="Z91" s="1126">
        <v>3</v>
      </c>
      <c r="AA91" s="1123">
        <f t="shared" ca="1" si="32"/>
        <v>0</v>
      </c>
      <c r="AB91" s="1125" t="str">
        <f t="shared" ca="1" si="35"/>
        <v>0-3-0</v>
      </c>
    </row>
    <row r="92" spans="1:28" ht="15" customHeight="1" x14ac:dyDescent="0.2">
      <c r="A92" s="417" t="s">
        <v>48</v>
      </c>
      <c r="B92" s="417" t="s">
        <v>50</v>
      </c>
      <c r="C92" s="417" t="s">
        <v>1025</v>
      </c>
      <c r="D92" s="1111" t="s">
        <v>12</v>
      </c>
      <c r="E92" s="417">
        <v>3</v>
      </c>
      <c r="F92" s="100" t="str">
        <f t="shared" si="28"/>
        <v>ASSET-13</v>
      </c>
      <c r="G92" s="100">
        <f t="shared" si="29"/>
        <v>4</v>
      </c>
      <c r="H92" s="133" t="e">
        <f t="shared" ca="1" si="33"/>
        <v>#VALUE!</v>
      </c>
      <c r="I92" s="133">
        <f t="shared" ca="1" si="30"/>
        <v>0</v>
      </c>
      <c r="J92" s="136" t="s">
        <v>424</v>
      </c>
      <c r="K92" s="101" t="s">
        <v>71</v>
      </c>
      <c r="L92" s="791">
        <f>SUM(L93:L97)</f>
        <v>9</v>
      </c>
      <c r="M92" s="791">
        <f>SUM(M93:M97)</f>
        <v>22</v>
      </c>
      <c r="N92" s="791">
        <f>SUM(N93:N97)</f>
        <v>18</v>
      </c>
      <c r="O92" s="793">
        <f t="shared" si="34"/>
        <v>49</v>
      </c>
      <c r="R92" s="717"/>
      <c r="W92" s="1121" t="str">
        <f ca="1">AB92&amp;"-"&amp;COUNTIF($AB$2:$AB92,$AB92)</f>
        <v>0-3-0-20</v>
      </c>
      <c r="X92" s="1121" t="s">
        <v>1025</v>
      </c>
      <c r="Y92" s="1123">
        <f t="shared" ca="1" si="31"/>
        <v>0</v>
      </c>
      <c r="Z92" s="1126">
        <v>3</v>
      </c>
      <c r="AA92" s="1123">
        <f t="shared" ca="1" si="32"/>
        <v>0</v>
      </c>
      <c r="AB92" s="1125" t="str">
        <f t="shared" ca="1" si="35"/>
        <v>0-3-0</v>
      </c>
    </row>
    <row r="93" spans="1:28" ht="15" customHeight="1" x14ac:dyDescent="0.2">
      <c r="A93" s="417" t="s">
        <v>48</v>
      </c>
      <c r="B93" s="417" t="s">
        <v>50</v>
      </c>
      <c r="C93" s="417" t="s">
        <v>1026</v>
      </c>
      <c r="D93" s="1111" t="s">
        <v>13</v>
      </c>
      <c r="E93" s="417">
        <v>3</v>
      </c>
      <c r="F93" s="100" t="str">
        <f t="shared" si="28"/>
        <v>ASSET-13</v>
      </c>
      <c r="G93" s="100">
        <f t="shared" si="29"/>
        <v>4</v>
      </c>
      <c r="H93" s="133" t="e">
        <f t="shared" ca="1" si="33"/>
        <v>#VALUE!</v>
      </c>
      <c r="I93" s="133">
        <f t="shared" ca="1" si="30"/>
        <v>0</v>
      </c>
      <c r="J93" s="136" t="s">
        <v>425</v>
      </c>
      <c r="K93" s="107" t="s">
        <v>93</v>
      </c>
      <c r="L93" s="790">
        <f>VLOOKUP(CONCATENATE($K93,L$1),$F:$G,2,FALSE)</f>
        <v>1</v>
      </c>
      <c r="M93" s="790">
        <f t="shared" ref="M93:N97" si="41">VLOOKUP(CONCATENATE($K93,M$1),$F:$G,2,FALSE)</f>
        <v>2</v>
      </c>
      <c r="N93" s="790">
        <f t="shared" si="41"/>
        <v>3</v>
      </c>
      <c r="O93" s="792">
        <f t="shared" si="34"/>
        <v>6</v>
      </c>
      <c r="R93" s="717"/>
      <c r="W93" s="1121" t="str">
        <f ca="1">AB93&amp;"-"&amp;COUNTIF($AB$2:$AB93,$AB93)</f>
        <v>0-3-0-21</v>
      </c>
      <c r="X93" s="1121" t="s">
        <v>1026</v>
      </c>
      <c r="Y93" s="1123">
        <f t="shared" ca="1" si="31"/>
        <v>0</v>
      </c>
      <c r="Z93" s="1126">
        <v>3</v>
      </c>
      <c r="AA93" s="1123">
        <f t="shared" ca="1" si="32"/>
        <v>0</v>
      </c>
      <c r="AB93" s="1125" t="str">
        <f t="shared" ca="1" si="35"/>
        <v>0-3-0</v>
      </c>
    </row>
    <row r="94" spans="1:28" ht="15" customHeight="1" x14ac:dyDescent="0.2">
      <c r="A94" s="417" t="s">
        <v>48</v>
      </c>
      <c r="B94" s="417" t="s">
        <v>50</v>
      </c>
      <c r="C94" s="417" t="s">
        <v>1027</v>
      </c>
      <c r="D94" s="1111" t="s">
        <v>14</v>
      </c>
      <c r="E94" s="417">
        <v>3</v>
      </c>
      <c r="F94" s="100" t="str">
        <f t="shared" si="28"/>
        <v>ASSET-13</v>
      </c>
      <c r="G94" s="100">
        <f t="shared" si="29"/>
        <v>4</v>
      </c>
      <c r="H94" s="133" t="e">
        <f t="shared" ca="1" si="33"/>
        <v>#VALUE!</v>
      </c>
      <c r="I94" s="133">
        <f t="shared" ca="1" si="30"/>
        <v>0</v>
      </c>
      <c r="J94" s="136" t="s">
        <v>426</v>
      </c>
      <c r="K94" s="107" t="s">
        <v>95</v>
      </c>
      <c r="L94" s="790">
        <f>VLOOKUP(CONCATENATE($K94,L$1),$F:$G,2,FALSE)</f>
        <v>2</v>
      </c>
      <c r="M94" s="790">
        <f t="shared" si="41"/>
        <v>5</v>
      </c>
      <c r="N94" s="790">
        <f t="shared" si="41"/>
        <v>2</v>
      </c>
      <c r="O94" s="792">
        <f t="shared" si="34"/>
        <v>9</v>
      </c>
      <c r="R94" s="717"/>
      <c r="W94" s="1121" t="str">
        <f ca="1">AB94&amp;"-"&amp;COUNTIF($AB$2:$AB94,$AB94)</f>
        <v>0-3-0-22</v>
      </c>
      <c r="X94" s="1121" t="s">
        <v>1027</v>
      </c>
      <c r="Y94" s="1123">
        <f t="shared" ca="1" si="31"/>
        <v>0</v>
      </c>
      <c r="Z94" s="1126">
        <v>3</v>
      </c>
      <c r="AA94" s="1123">
        <f t="shared" ca="1" si="32"/>
        <v>0</v>
      </c>
      <c r="AB94" s="1125" t="str">
        <f t="shared" ca="1" si="35"/>
        <v>0-3-0</v>
      </c>
    </row>
    <row r="95" spans="1:28" ht="15" customHeight="1" x14ac:dyDescent="0.2">
      <c r="A95" s="417" t="s">
        <v>48</v>
      </c>
      <c r="B95" s="417" t="s">
        <v>52</v>
      </c>
      <c r="C95" s="417" t="s">
        <v>100</v>
      </c>
      <c r="D95" s="1111" t="s">
        <v>17</v>
      </c>
      <c r="E95" s="417">
        <v>1</v>
      </c>
      <c r="F95" s="100" t="str">
        <f t="shared" si="28"/>
        <v>ASSET-21</v>
      </c>
      <c r="G95" s="100">
        <f t="shared" si="29"/>
        <v>1</v>
      </c>
      <c r="H95" s="133" t="e">
        <f t="shared" ca="1" si="33"/>
        <v>#VALUE!</v>
      </c>
      <c r="I95" s="133">
        <f t="shared" ca="1" si="30"/>
        <v>0</v>
      </c>
      <c r="J95" s="136" t="s">
        <v>427</v>
      </c>
      <c r="K95" s="107" t="s">
        <v>97</v>
      </c>
      <c r="L95" s="790">
        <f>VLOOKUP(CONCATENATE($K95,L$1),$F:$G,2,FALSE)</f>
        <v>3</v>
      </c>
      <c r="M95" s="790">
        <f t="shared" si="41"/>
        <v>4</v>
      </c>
      <c r="N95" s="790">
        <f t="shared" si="41"/>
        <v>4</v>
      </c>
      <c r="O95" s="792">
        <f t="shared" si="34"/>
        <v>11</v>
      </c>
      <c r="R95" s="717"/>
      <c r="W95" s="1121" t="str">
        <f ca="1">AB95&amp;"-"&amp;COUNTIF($AB$2:$AB95,$AB95)</f>
        <v>0-1-0-14</v>
      </c>
      <c r="X95" s="1121" t="s">
        <v>100</v>
      </c>
      <c r="Y95" s="1123">
        <f t="shared" ca="1" si="31"/>
        <v>0</v>
      </c>
      <c r="Z95" s="1126">
        <v>1</v>
      </c>
      <c r="AA95" s="1123">
        <f t="shared" ca="1" si="32"/>
        <v>0</v>
      </c>
      <c r="AB95" s="1125" t="str">
        <f t="shared" ca="1" si="35"/>
        <v>0-1-0</v>
      </c>
    </row>
    <row r="96" spans="1:28" ht="15" customHeight="1" x14ac:dyDescent="0.2">
      <c r="A96" s="417" t="s">
        <v>48</v>
      </c>
      <c r="B96" s="417" t="s">
        <v>52</v>
      </c>
      <c r="C96" s="417" t="s">
        <v>101</v>
      </c>
      <c r="D96" s="1111" t="s">
        <v>18</v>
      </c>
      <c r="E96" s="417">
        <v>2</v>
      </c>
      <c r="F96" s="100" t="str">
        <f t="shared" si="28"/>
        <v>ASSET-22</v>
      </c>
      <c r="G96" s="100">
        <f t="shared" si="29"/>
        <v>4</v>
      </c>
      <c r="H96" s="133" t="e">
        <f t="shared" ca="1" si="33"/>
        <v>#VALUE!</v>
      </c>
      <c r="I96" s="133">
        <f t="shared" ca="1" si="30"/>
        <v>0</v>
      </c>
      <c r="J96" s="136" t="s">
        <v>428</v>
      </c>
      <c r="K96" s="107" t="s">
        <v>99</v>
      </c>
      <c r="L96" s="790">
        <f>VLOOKUP(CONCATENATE($K96,L$1),$F:$G,2,FALSE)</f>
        <v>3</v>
      </c>
      <c r="M96" s="790">
        <f t="shared" si="41"/>
        <v>9</v>
      </c>
      <c r="N96" s="790">
        <f t="shared" si="41"/>
        <v>5</v>
      </c>
      <c r="O96" s="792">
        <f t="shared" si="34"/>
        <v>17</v>
      </c>
      <c r="R96" s="716"/>
      <c r="W96" s="1121" t="str">
        <f ca="1">AB96&amp;"-"&amp;COUNTIF($AB$2:$AB96,$AB96)</f>
        <v>0-2-0-39</v>
      </c>
      <c r="X96" s="1121" t="s">
        <v>101</v>
      </c>
      <c r="Y96" s="1123">
        <f t="shared" ca="1" si="31"/>
        <v>0</v>
      </c>
      <c r="Z96" s="1126">
        <v>2</v>
      </c>
      <c r="AA96" s="1123">
        <f t="shared" ca="1" si="32"/>
        <v>0</v>
      </c>
      <c r="AB96" s="1125" t="str">
        <f t="shared" ca="1" si="35"/>
        <v>0-2-0</v>
      </c>
    </row>
    <row r="97" spans="1:28" ht="15" customHeight="1" x14ac:dyDescent="0.2">
      <c r="A97" s="417" t="s">
        <v>48</v>
      </c>
      <c r="B97" s="417" t="s">
        <v>52</v>
      </c>
      <c r="C97" s="417" t="s">
        <v>103</v>
      </c>
      <c r="D97" s="1111" t="s">
        <v>19</v>
      </c>
      <c r="E97" s="417">
        <v>2</v>
      </c>
      <c r="F97" s="100" t="str">
        <f t="shared" si="28"/>
        <v>ASSET-22</v>
      </c>
      <c r="G97" s="100">
        <f t="shared" si="29"/>
        <v>4</v>
      </c>
      <c r="H97" s="133" t="e">
        <f t="shared" ca="1" si="33"/>
        <v>#VALUE!</v>
      </c>
      <c r="I97" s="133">
        <f t="shared" ca="1" si="30"/>
        <v>0</v>
      </c>
      <c r="J97" s="136" t="s">
        <v>429</v>
      </c>
      <c r="K97" s="107" t="s">
        <v>1112</v>
      </c>
      <c r="L97" s="790">
        <v>0</v>
      </c>
      <c r="M97" s="790">
        <f t="shared" si="41"/>
        <v>2</v>
      </c>
      <c r="N97" s="790">
        <f t="shared" si="41"/>
        <v>4</v>
      </c>
      <c r="O97" s="792">
        <f t="shared" si="34"/>
        <v>6</v>
      </c>
      <c r="R97" s="717"/>
      <c r="W97" s="1121" t="str">
        <f ca="1">AB97&amp;"-"&amp;COUNTIF($AB$2:$AB97,$AB97)</f>
        <v>0-2-0-40</v>
      </c>
      <c r="X97" s="1121" t="s">
        <v>103</v>
      </c>
      <c r="Y97" s="1123">
        <f t="shared" ca="1" si="31"/>
        <v>0</v>
      </c>
      <c r="Z97" s="1126">
        <v>2</v>
      </c>
      <c r="AA97" s="1123">
        <f t="shared" ca="1" si="32"/>
        <v>0</v>
      </c>
      <c r="AB97" s="1125" t="str">
        <f t="shared" ca="1" si="35"/>
        <v>0-2-0</v>
      </c>
    </row>
    <row r="98" spans="1:28" ht="15" customHeight="1" x14ac:dyDescent="0.2">
      <c r="A98" s="417" t="s">
        <v>48</v>
      </c>
      <c r="B98" s="417" t="s">
        <v>52</v>
      </c>
      <c r="C98" s="417" t="s">
        <v>105</v>
      </c>
      <c r="D98" s="1111" t="s">
        <v>20</v>
      </c>
      <c r="E98" s="417">
        <v>2</v>
      </c>
      <c r="F98" s="100" t="str">
        <f t="shared" si="28"/>
        <v>ASSET-22</v>
      </c>
      <c r="G98" s="100">
        <f t="shared" si="29"/>
        <v>4</v>
      </c>
      <c r="H98" s="133" t="e">
        <f t="shared" ca="1" si="33"/>
        <v>#VALUE!</v>
      </c>
      <c r="I98" s="133">
        <f t="shared" ca="1" si="30"/>
        <v>0</v>
      </c>
      <c r="J98" s="136" t="s">
        <v>430</v>
      </c>
      <c r="K98" s="101" t="s">
        <v>0</v>
      </c>
      <c r="L98" s="791">
        <f>SUM(L99:L103)</f>
        <v>4</v>
      </c>
      <c r="M98" s="791">
        <f>SUM(M99:M103)</f>
        <v>17</v>
      </c>
      <c r="N98" s="791">
        <f>SUM(N99:N103)</f>
        <v>16</v>
      </c>
      <c r="O98" s="793">
        <f t="shared" si="34"/>
        <v>37</v>
      </c>
      <c r="R98" s="717"/>
      <c r="W98" s="1121" t="str">
        <f ca="1">AB98&amp;"-"&amp;COUNTIF($AB$2:$AB98,$AB98)</f>
        <v>0-2-0-41</v>
      </c>
      <c r="X98" s="1121" t="s">
        <v>105</v>
      </c>
      <c r="Y98" s="1123">
        <f t="shared" ref="Y98:Y129" ca="1" si="42">VLOOKUP(LEFT($X98,LEN($X98)-1),$K:$O,5,FALSE)</f>
        <v>0</v>
      </c>
      <c r="Z98" s="1126">
        <v>2</v>
      </c>
      <c r="AA98" s="1123">
        <f t="shared" ca="1" si="32"/>
        <v>0</v>
      </c>
      <c r="AB98" s="1125" t="str">
        <f t="shared" ca="1" si="35"/>
        <v>0-2-0</v>
      </c>
    </row>
    <row r="99" spans="1:28" ht="15" customHeight="1" x14ac:dyDescent="0.2">
      <c r="A99" s="417" t="s">
        <v>48</v>
      </c>
      <c r="B99" s="417" t="s">
        <v>52</v>
      </c>
      <c r="C99" s="417" t="s">
        <v>107</v>
      </c>
      <c r="D99" s="1111" t="s">
        <v>21</v>
      </c>
      <c r="E99" s="417">
        <v>2</v>
      </c>
      <c r="F99" s="100" t="str">
        <f t="shared" si="28"/>
        <v>ASSET-22</v>
      </c>
      <c r="G99" s="100">
        <f t="shared" si="29"/>
        <v>4</v>
      </c>
      <c r="H99" s="133" t="e">
        <f t="shared" ca="1" si="33"/>
        <v>#VALUE!</v>
      </c>
      <c r="I99" s="133">
        <f t="shared" ca="1" si="30"/>
        <v>0</v>
      </c>
      <c r="J99" s="136" t="s">
        <v>431</v>
      </c>
      <c r="K99" s="107" t="s">
        <v>40</v>
      </c>
      <c r="L99" s="790">
        <f>VLOOKUP(CONCATENATE($K99,L$1),$F:$G,2,FALSE)</f>
        <v>1</v>
      </c>
      <c r="M99" s="790">
        <f t="shared" ref="M99:N103" si="43">VLOOKUP(CONCATENATE($K99,M$1),$F:$G,2,FALSE)</f>
        <v>3</v>
      </c>
      <c r="N99" s="790">
        <f t="shared" si="43"/>
        <v>2</v>
      </c>
      <c r="O99" s="792">
        <f t="shared" si="34"/>
        <v>6</v>
      </c>
      <c r="R99" s="717"/>
      <c r="W99" s="1121" t="str">
        <f ca="1">AB99&amp;"-"&amp;COUNTIF($AB$2:$AB99,$AB99)</f>
        <v>0-2-0-42</v>
      </c>
      <c r="X99" s="1121" t="s">
        <v>107</v>
      </c>
      <c r="Y99" s="1123">
        <f t="shared" ca="1" si="42"/>
        <v>0</v>
      </c>
      <c r="Z99" s="1126">
        <v>2</v>
      </c>
      <c r="AA99" s="1123">
        <f t="shared" ca="1" si="32"/>
        <v>0</v>
      </c>
      <c r="AB99" s="1125" t="str">
        <f t="shared" ca="1" si="35"/>
        <v>0-2-0</v>
      </c>
    </row>
    <row r="100" spans="1:28" ht="15" customHeight="1" x14ac:dyDescent="0.2">
      <c r="A100" s="417" t="s">
        <v>48</v>
      </c>
      <c r="B100" s="417" t="s">
        <v>52</v>
      </c>
      <c r="C100" s="417" t="s">
        <v>108</v>
      </c>
      <c r="D100" s="1111" t="s">
        <v>109</v>
      </c>
      <c r="E100" s="417">
        <v>3</v>
      </c>
      <c r="F100" s="100" t="str">
        <f t="shared" si="28"/>
        <v>ASSET-23</v>
      </c>
      <c r="G100" s="100">
        <f t="shared" si="29"/>
        <v>4</v>
      </c>
      <c r="H100" s="133" t="e">
        <f t="shared" ca="1" si="33"/>
        <v>#VALUE!</v>
      </c>
      <c r="I100" s="133">
        <f t="shared" ca="1" si="30"/>
        <v>0</v>
      </c>
      <c r="J100" s="136" t="s">
        <v>432</v>
      </c>
      <c r="K100" s="107" t="s">
        <v>44</v>
      </c>
      <c r="L100" s="790">
        <f>VLOOKUP(CONCATENATE($K100,L$1),$F:$G,2,FALSE)</f>
        <v>1</v>
      </c>
      <c r="M100" s="790">
        <f t="shared" si="43"/>
        <v>6</v>
      </c>
      <c r="N100" s="790">
        <f t="shared" si="43"/>
        <v>6</v>
      </c>
      <c r="O100" s="792">
        <f t="shared" si="34"/>
        <v>13</v>
      </c>
      <c r="R100" s="716"/>
      <c r="W100" s="1121" t="str">
        <f ca="1">AB100&amp;"-"&amp;COUNTIF($AB$2:$AB100,$AB100)</f>
        <v>0-3-0-23</v>
      </c>
      <c r="X100" s="1121" t="s">
        <v>108</v>
      </c>
      <c r="Y100" s="1123">
        <f t="shared" ca="1" si="42"/>
        <v>0</v>
      </c>
      <c r="Z100" s="1126">
        <v>3</v>
      </c>
      <c r="AA100" s="1123">
        <f t="shared" ca="1" si="32"/>
        <v>0</v>
      </c>
      <c r="AB100" s="1125" t="str">
        <f t="shared" ca="1" si="35"/>
        <v>0-3-0</v>
      </c>
    </row>
    <row r="101" spans="1:28" ht="15" customHeight="1" x14ac:dyDescent="0.2">
      <c r="A101" s="417" t="s">
        <v>48</v>
      </c>
      <c r="B101" s="417" t="s">
        <v>52</v>
      </c>
      <c r="C101" s="417" t="s">
        <v>1028</v>
      </c>
      <c r="D101" s="1111" t="s">
        <v>173</v>
      </c>
      <c r="E101" s="417">
        <v>3</v>
      </c>
      <c r="F101" s="100" t="str">
        <f t="shared" si="28"/>
        <v>ASSET-23</v>
      </c>
      <c r="G101" s="100">
        <f t="shared" si="29"/>
        <v>4</v>
      </c>
      <c r="H101" s="133" t="e">
        <f t="shared" ca="1" si="33"/>
        <v>#VALUE!</v>
      </c>
      <c r="I101" s="133">
        <f t="shared" ca="1" si="30"/>
        <v>0</v>
      </c>
      <c r="J101" s="136" t="s">
        <v>433</v>
      </c>
      <c r="K101" s="107" t="s">
        <v>46</v>
      </c>
      <c r="L101" s="790">
        <f>VLOOKUP(CONCATENATE($K101,L$1),$F:$G,2,FALSE)</f>
        <v>1</v>
      </c>
      <c r="M101" s="790">
        <f t="shared" si="43"/>
        <v>5</v>
      </c>
      <c r="N101" s="790">
        <f t="shared" si="43"/>
        <v>1</v>
      </c>
      <c r="O101" s="792">
        <f t="shared" si="34"/>
        <v>7</v>
      </c>
      <c r="R101" s="717"/>
      <c r="W101" s="1121" t="str">
        <f ca="1">AB101&amp;"-"&amp;COUNTIF($AB$2:$AB101,$AB101)</f>
        <v>0-3-0-24</v>
      </c>
      <c r="X101" s="1121" t="s">
        <v>1028</v>
      </c>
      <c r="Y101" s="1123">
        <f t="shared" ca="1" si="42"/>
        <v>0</v>
      </c>
      <c r="Z101" s="1126">
        <v>3</v>
      </c>
      <c r="AA101" s="1123">
        <f t="shared" ca="1" si="32"/>
        <v>0</v>
      </c>
      <c r="AB101" s="1125" t="str">
        <f t="shared" ca="1" si="35"/>
        <v>0-3-0</v>
      </c>
    </row>
    <row r="102" spans="1:28" ht="15" customHeight="1" x14ac:dyDescent="0.2">
      <c r="A102" s="417" t="s">
        <v>48</v>
      </c>
      <c r="B102" s="417" t="s">
        <v>52</v>
      </c>
      <c r="C102" s="417" t="s">
        <v>1029</v>
      </c>
      <c r="D102" s="1111" t="s">
        <v>175</v>
      </c>
      <c r="E102" s="417">
        <v>3</v>
      </c>
      <c r="F102" s="100" t="str">
        <f t="shared" si="28"/>
        <v>ASSET-23</v>
      </c>
      <c r="G102" s="100">
        <f t="shared" si="29"/>
        <v>4</v>
      </c>
      <c r="H102" s="133" t="e">
        <f t="shared" ca="1" si="33"/>
        <v>#VALUE!</v>
      </c>
      <c r="I102" s="133">
        <f t="shared" ca="1" si="30"/>
        <v>0</v>
      </c>
      <c r="J102" s="136" t="s">
        <v>434</v>
      </c>
      <c r="K102" s="107" t="s">
        <v>1101</v>
      </c>
      <c r="L102" s="790">
        <f>VLOOKUP(CONCATENATE($K102,L$1),$F:$G,2,FALSE)</f>
        <v>1</v>
      </c>
      <c r="M102" s="790">
        <f t="shared" si="43"/>
        <v>1</v>
      </c>
      <c r="N102" s="790">
        <f t="shared" si="43"/>
        <v>3</v>
      </c>
      <c r="O102" s="792">
        <f t="shared" si="34"/>
        <v>5</v>
      </c>
      <c r="R102" s="717"/>
      <c r="W102" s="1121" t="str">
        <f ca="1">AB102&amp;"-"&amp;COUNTIF($AB$2:$AB102,$AB102)</f>
        <v>0-3-0-25</v>
      </c>
      <c r="X102" s="1121" t="s">
        <v>1029</v>
      </c>
      <c r="Y102" s="1123">
        <f t="shared" ca="1" si="42"/>
        <v>0</v>
      </c>
      <c r="Z102" s="1126">
        <v>3</v>
      </c>
      <c r="AA102" s="1123">
        <f t="shared" ca="1" si="32"/>
        <v>0</v>
      </c>
      <c r="AB102" s="1125" t="str">
        <f t="shared" ca="1" si="35"/>
        <v>0-3-0</v>
      </c>
    </row>
    <row r="103" spans="1:28" ht="15" customHeight="1" x14ac:dyDescent="0.2">
      <c r="A103" s="417" t="s">
        <v>48</v>
      </c>
      <c r="B103" s="417" t="s">
        <v>52</v>
      </c>
      <c r="C103" s="417" t="s">
        <v>1030</v>
      </c>
      <c r="D103" s="1111" t="s">
        <v>206</v>
      </c>
      <c r="E103" s="417">
        <v>3</v>
      </c>
      <c r="F103" s="100" t="str">
        <f t="shared" si="28"/>
        <v>ASSET-23</v>
      </c>
      <c r="G103" s="100">
        <f t="shared" si="29"/>
        <v>4</v>
      </c>
      <c r="H103" s="133" t="e">
        <f t="shared" ca="1" si="33"/>
        <v>#VALUE!</v>
      </c>
      <c r="I103" s="133">
        <f t="shared" ca="1" si="30"/>
        <v>0</v>
      </c>
      <c r="J103" s="136" t="s">
        <v>435</v>
      </c>
      <c r="K103" s="107" t="s">
        <v>1102</v>
      </c>
      <c r="L103" s="790">
        <v>0</v>
      </c>
      <c r="M103" s="790">
        <f t="shared" si="43"/>
        <v>2</v>
      </c>
      <c r="N103" s="790">
        <f t="shared" si="43"/>
        <v>4</v>
      </c>
      <c r="O103" s="792">
        <f t="shared" si="34"/>
        <v>6</v>
      </c>
      <c r="R103" s="717"/>
      <c r="W103" s="1121" t="str">
        <f ca="1">AB103&amp;"-"&amp;COUNTIF($AB$2:$AB103,$AB103)</f>
        <v>0-3-0-26</v>
      </c>
      <c r="X103" s="1121" t="s">
        <v>1030</v>
      </c>
      <c r="Y103" s="1123">
        <f t="shared" ca="1" si="42"/>
        <v>0</v>
      </c>
      <c r="Z103" s="1126">
        <v>3</v>
      </c>
      <c r="AA103" s="1123">
        <f t="shared" ca="1" si="32"/>
        <v>0</v>
      </c>
      <c r="AB103" s="1125" t="str">
        <f t="shared" ca="1" si="35"/>
        <v>0-3-0</v>
      </c>
    </row>
    <row r="104" spans="1:28" ht="15" customHeight="1" x14ac:dyDescent="0.2">
      <c r="A104" s="417" t="s">
        <v>48</v>
      </c>
      <c r="B104" s="417" t="s">
        <v>54</v>
      </c>
      <c r="C104" s="417" t="s">
        <v>111</v>
      </c>
      <c r="D104" s="1111" t="s">
        <v>22</v>
      </c>
      <c r="E104" s="417">
        <v>1</v>
      </c>
      <c r="F104" s="100" t="str">
        <f t="shared" si="28"/>
        <v>ASSET-31</v>
      </c>
      <c r="G104" s="100">
        <f t="shared" si="29"/>
        <v>1</v>
      </c>
      <c r="H104" s="133" t="e">
        <f t="shared" ca="1" si="33"/>
        <v>#VALUE!</v>
      </c>
      <c r="I104" s="133">
        <f t="shared" ca="1" si="30"/>
        <v>0</v>
      </c>
      <c r="J104" s="136" t="s">
        <v>436</v>
      </c>
      <c r="K104" s="101" t="s">
        <v>69</v>
      </c>
      <c r="L104" s="791">
        <f>SUM(L105:L108)</f>
        <v>3</v>
      </c>
      <c r="M104" s="791">
        <f>SUM(M105:M108)</f>
        <v>12</v>
      </c>
      <c r="N104" s="791">
        <f>SUM(N105:N108)</f>
        <v>14</v>
      </c>
      <c r="O104" s="793">
        <f t="shared" si="34"/>
        <v>29</v>
      </c>
      <c r="R104" s="716"/>
      <c r="W104" s="1121" t="str">
        <f ca="1">AB104&amp;"-"&amp;COUNTIF($AB$2:$AB104,$AB104)</f>
        <v>0-1-0-15</v>
      </c>
      <c r="X104" s="1121" t="s">
        <v>111</v>
      </c>
      <c r="Y104" s="1123">
        <f t="shared" ca="1" si="42"/>
        <v>0</v>
      </c>
      <c r="Z104" s="1126">
        <v>1</v>
      </c>
      <c r="AA104" s="1123">
        <f t="shared" ca="1" si="32"/>
        <v>0</v>
      </c>
      <c r="AB104" s="1125" t="str">
        <f t="shared" ca="1" si="35"/>
        <v>0-1-0</v>
      </c>
    </row>
    <row r="105" spans="1:28" ht="15" customHeight="1" x14ac:dyDescent="0.2">
      <c r="A105" s="417" t="s">
        <v>48</v>
      </c>
      <c r="B105" s="417" t="s">
        <v>54</v>
      </c>
      <c r="C105" s="417" t="s">
        <v>113</v>
      </c>
      <c r="D105" s="1111" t="s">
        <v>23</v>
      </c>
      <c r="E105" s="417">
        <v>2</v>
      </c>
      <c r="F105" s="100" t="str">
        <f t="shared" si="28"/>
        <v>ASSET-32</v>
      </c>
      <c r="G105" s="100">
        <f t="shared" si="29"/>
        <v>1</v>
      </c>
      <c r="H105" s="133" t="e">
        <f t="shared" ca="1" si="33"/>
        <v>#VALUE!</v>
      </c>
      <c r="I105" s="133">
        <f t="shared" ca="1" si="30"/>
        <v>0</v>
      </c>
      <c r="J105" s="136" t="s">
        <v>437</v>
      </c>
      <c r="K105" s="107" t="s">
        <v>84</v>
      </c>
      <c r="L105" s="790">
        <f>VLOOKUP(CONCATENATE($K105,L$1),$F:$G,2,FALSE)</f>
        <v>1</v>
      </c>
      <c r="M105" s="790">
        <f t="shared" ref="M105:N108" si="44">VLOOKUP(CONCATENATE($K105,M$1),$F:$G,2,FALSE)</f>
        <v>3</v>
      </c>
      <c r="N105" s="790">
        <f t="shared" si="44"/>
        <v>1</v>
      </c>
      <c r="O105" s="792">
        <f t="shared" si="34"/>
        <v>5</v>
      </c>
      <c r="R105" s="107"/>
      <c r="W105" s="1121" t="str">
        <f ca="1">AB105&amp;"-"&amp;COUNTIF($AB$2:$AB105,$AB105)</f>
        <v>0-2-0-43</v>
      </c>
      <c r="X105" s="1121" t="s">
        <v>113</v>
      </c>
      <c r="Y105" s="1123">
        <f t="shared" ca="1" si="42"/>
        <v>0</v>
      </c>
      <c r="Z105" s="1126">
        <v>2</v>
      </c>
      <c r="AA105" s="1123">
        <f t="shared" ca="1" si="32"/>
        <v>0</v>
      </c>
      <c r="AB105" s="1125" t="str">
        <f t="shared" ca="1" si="35"/>
        <v>0-2-0</v>
      </c>
    </row>
    <row r="106" spans="1:28" ht="15" customHeight="1" x14ac:dyDescent="0.2">
      <c r="A106" s="417" t="s">
        <v>48</v>
      </c>
      <c r="B106" s="417" t="s">
        <v>54</v>
      </c>
      <c r="C106" s="417" t="s">
        <v>115</v>
      </c>
      <c r="D106" s="1111" t="s">
        <v>24</v>
      </c>
      <c r="E106" s="417">
        <v>3</v>
      </c>
      <c r="F106" s="100" t="str">
        <f t="shared" si="28"/>
        <v>ASSET-33</v>
      </c>
      <c r="G106" s="100">
        <f t="shared" si="29"/>
        <v>4</v>
      </c>
      <c r="H106" s="133" t="e">
        <f t="shared" ca="1" si="33"/>
        <v>#VALUE!</v>
      </c>
      <c r="I106" s="133">
        <f t="shared" ca="1" si="30"/>
        <v>0</v>
      </c>
      <c r="J106" s="136" t="s">
        <v>438</v>
      </c>
      <c r="K106" s="107" t="s">
        <v>86</v>
      </c>
      <c r="L106" s="790">
        <f>VLOOKUP(CONCATENATE($K106,L$1),$F:$G,2,FALSE)</f>
        <v>2</v>
      </c>
      <c r="M106" s="790">
        <f t="shared" si="44"/>
        <v>4</v>
      </c>
      <c r="N106" s="790">
        <f t="shared" si="44"/>
        <v>4</v>
      </c>
      <c r="O106" s="792">
        <f t="shared" si="34"/>
        <v>10</v>
      </c>
      <c r="R106" s="107"/>
      <c r="W106" s="1121" t="str">
        <f ca="1">AB106&amp;"-"&amp;COUNTIF($AB$2:$AB106,$AB106)</f>
        <v>0-3-0-27</v>
      </c>
      <c r="X106" s="1121" t="s">
        <v>115</v>
      </c>
      <c r="Y106" s="1123">
        <f t="shared" ca="1" si="42"/>
        <v>0</v>
      </c>
      <c r="Z106" s="1126">
        <v>3</v>
      </c>
      <c r="AA106" s="1123">
        <f t="shared" ca="1" si="32"/>
        <v>0</v>
      </c>
      <c r="AB106" s="1125" t="str">
        <f t="shared" ca="1" si="35"/>
        <v>0-3-0</v>
      </c>
    </row>
    <row r="107" spans="1:28" ht="15" customHeight="1" x14ac:dyDescent="0.2">
      <c r="A107" s="417" t="s">
        <v>48</v>
      </c>
      <c r="B107" s="417" t="s">
        <v>54</v>
      </c>
      <c r="C107" s="417" t="s">
        <v>117</v>
      </c>
      <c r="D107" s="1111" t="s">
        <v>25</v>
      </c>
      <c r="E107" s="417">
        <v>3</v>
      </c>
      <c r="F107" s="100" t="str">
        <f t="shared" si="28"/>
        <v>ASSET-33</v>
      </c>
      <c r="G107" s="100">
        <f t="shared" si="29"/>
        <v>4</v>
      </c>
      <c r="H107" s="133" t="e">
        <f t="shared" ca="1" si="33"/>
        <v>#VALUE!</v>
      </c>
      <c r="I107" s="133">
        <f t="shared" ca="1" si="30"/>
        <v>0</v>
      </c>
      <c r="J107" s="136" t="s">
        <v>439</v>
      </c>
      <c r="K107" s="107" t="s">
        <v>88</v>
      </c>
      <c r="L107" s="790">
        <v>0</v>
      </c>
      <c r="M107" s="790">
        <f t="shared" si="44"/>
        <v>3</v>
      </c>
      <c r="N107" s="790">
        <f t="shared" si="44"/>
        <v>5</v>
      </c>
      <c r="O107" s="792">
        <f t="shared" si="34"/>
        <v>8</v>
      </c>
      <c r="R107" s="107"/>
      <c r="W107" s="1121" t="str">
        <f ca="1">AB107&amp;"-"&amp;COUNTIF($AB$2:$AB107,$AB107)</f>
        <v>0-3-0-28</v>
      </c>
      <c r="X107" s="1121" t="s">
        <v>117</v>
      </c>
      <c r="Y107" s="1123">
        <f t="shared" ca="1" si="42"/>
        <v>0</v>
      </c>
      <c r="Z107" s="1126">
        <v>3</v>
      </c>
      <c r="AA107" s="1123">
        <f t="shared" ca="1" si="32"/>
        <v>0</v>
      </c>
      <c r="AB107" s="1125" t="str">
        <f t="shared" ca="1" si="35"/>
        <v>0-3-0</v>
      </c>
    </row>
    <row r="108" spans="1:28" ht="15" customHeight="1" x14ac:dyDescent="0.2">
      <c r="A108" s="417" t="s">
        <v>48</v>
      </c>
      <c r="B108" s="417" t="s">
        <v>54</v>
      </c>
      <c r="C108" s="417" t="s">
        <v>119</v>
      </c>
      <c r="D108" s="1111" t="s">
        <v>26</v>
      </c>
      <c r="E108" s="417">
        <v>3</v>
      </c>
      <c r="F108" s="100" t="str">
        <f t="shared" si="28"/>
        <v>ASSET-33</v>
      </c>
      <c r="G108" s="100">
        <f t="shared" si="29"/>
        <v>4</v>
      </c>
      <c r="H108" s="133" t="e">
        <f t="shared" ca="1" si="33"/>
        <v>#VALUE!</v>
      </c>
      <c r="I108" s="133">
        <f t="shared" ca="1" si="30"/>
        <v>0</v>
      </c>
      <c r="J108" s="136" t="s">
        <v>440</v>
      </c>
      <c r="K108" s="107" t="s">
        <v>90</v>
      </c>
      <c r="L108" s="790">
        <v>0</v>
      </c>
      <c r="M108" s="790">
        <f t="shared" si="44"/>
        <v>2</v>
      </c>
      <c r="N108" s="790">
        <f t="shared" si="44"/>
        <v>4</v>
      </c>
      <c r="O108" s="792">
        <f t="shared" si="34"/>
        <v>6</v>
      </c>
      <c r="R108" s="107"/>
      <c r="W108" s="1121" t="str">
        <f ca="1">AB108&amp;"-"&amp;COUNTIF($AB$2:$AB108,$AB108)</f>
        <v>0-3-0-29</v>
      </c>
      <c r="X108" s="1121" t="s">
        <v>119</v>
      </c>
      <c r="Y108" s="1123">
        <f t="shared" ca="1" si="42"/>
        <v>0</v>
      </c>
      <c r="Z108" s="1126">
        <v>3</v>
      </c>
      <c r="AA108" s="1123">
        <f t="shared" ca="1" si="32"/>
        <v>0</v>
      </c>
      <c r="AB108" s="1125" t="str">
        <f t="shared" ca="1" si="35"/>
        <v>0-3-0</v>
      </c>
    </row>
    <row r="109" spans="1:28" ht="15" customHeight="1" x14ac:dyDescent="0.2">
      <c r="A109" s="417" t="s">
        <v>48</v>
      </c>
      <c r="B109" s="417" t="s">
        <v>54</v>
      </c>
      <c r="C109" s="417" t="s">
        <v>120</v>
      </c>
      <c r="D109" s="1111" t="s">
        <v>27</v>
      </c>
      <c r="E109" s="417">
        <v>3</v>
      </c>
      <c r="F109" s="100" t="str">
        <f t="shared" si="28"/>
        <v>ASSET-33</v>
      </c>
      <c r="G109" s="100">
        <f t="shared" si="29"/>
        <v>4</v>
      </c>
      <c r="H109" s="133" t="e">
        <f t="shared" ca="1" si="33"/>
        <v>#VALUE!</v>
      </c>
      <c r="I109" s="133">
        <f t="shared" ca="1" si="30"/>
        <v>0</v>
      </c>
      <c r="J109" s="136" t="s">
        <v>441</v>
      </c>
      <c r="K109" s="101" t="s">
        <v>1145</v>
      </c>
      <c r="L109" s="791">
        <f>SUM(L110:L112)</f>
        <v>4</v>
      </c>
      <c r="M109" s="791">
        <f>SUM(M110:M112)</f>
        <v>9</v>
      </c>
      <c r="N109" s="791">
        <f>SUM(N110:N112)</f>
        <v>9</v>
      </c>
      <c r="O109" s="793">
        <f t="shared" si="34"/>
        <v>22</v>
      </c>
      <c r="R109" s="107"/>
      <c r="W109" s="1121" t="str">
        <f ca="1">AB109&amp;"-"&amp;COUNTIF($AB$2:$AB109,$AB109)</f>
        <v>0-3-0-30</v>
      </c>
      <c r="X109" s="1121" t="s">
        <v>120</v>
      </c>
      <c r="Y109" s="1123">
        <f t="shared" ca="1" si="42"/>
        <v>0</v>
      </c>
      <c r="Z109" s="1126">
        <v>3</v>
      </c>
      <c r="AA109" s="1123">
        <f t="shared" ca="1" si="32"/>
        <v>0</v>
      </c>
      <c r="AB109" s="1125" t="str">
        <f t="shared" ca="1" si="35"/>
        <v>0-3-0</v>
      </c>
    </row>
    <row r="110" spans="1:28" ht="15" customHeight="1" x14ac:dyDescent="0.2">
      <c r="A110" s="417" t="s">
        <v>48</v>
      </c>
      <c r="B110" s="417" t="s">
        <v>56</v>
      </c>
      <c r="C110" s="417" t="s">
        <v>122</v>
      </c>
      <c r="D110" s="1111" t="s">
        <v>123</v>
      </c>
      <c r="E110" s="417">
        <v>1</v>
      </c>
      <c r="F110" s="100" t="str">
        <f t="shared" si="28"/>
        <v>ASSET-41</v>
      </c>
      <c r="G110" s="100">
        <f t="shared" si="29"/>
        <v>2</v>
      </c>
      <c r="H110" s="133" t="e">
        <f t="shared" ca="1" si="33"/>
        <v>#VALUE!</v>
      </c>
      <c r="I110" s="133">
        <f t="shared" ca="1" si="30"/>
        <v>0</v>
      </c>
      <c r="J110" s="136" t="s">
        <v>442</v>
      </c>
      <c r="K110" s="107" t="s">
        <v>1121</v>
      </c>
      <c r="L110" s="790">
        <f>VLOOKUP(CONCATENATE($K110,L$1),$F:$G,2,FALSE)</f>
        <v>2</v>
      </c>
      <c r="M110" s="790">
        <f t="shared" ref="M110:N112" si="45">VLOOKUP(CONCATENATE($K110,M$1),$F:$G,2,FALSE)</f>
        <v>2</v>
      </c>
      <c r="N110" s="790">
        <f t="shared" si="45"/>
        <v>1</v>
      </c>
      <c r="O110" s="792">
        <f t="shared" si="34"/>
        <v>5</v>
      </c>
      <c r="W110" s="1121" t="str">
        <f ca="1">AB110&amp;"-"&amp;COUNTIF($AB$2:$AB110,$AB110)</f>
        <v>0-1-0-16</v>
      </c>
      <c r="X110" s="1121" t="s">
        <v>122</v>
      </c>
      <c r="Y110" s="1123">
        <f t="shared" ca="1" si="42"/>
        <v>0</v>
      </c>
      <c r="Z110" s="1126">
        <v>1</v>
      </c>
      <c r="AA110" s="1123">
        <f t="shared" ca="1" si="32"/>
        <v>0</v>
      </c>
      <c r="AB110" s="1125" t="str">
        <f t="shared" ca="1" si="35"/>
        <v>0-1-0</v>
      </c>
    </row>
    <row r="111" spans="1:28" ht="15" customHeight="1" x14ac:dyDescent="0.2">
      <c r="A111" s="417" t="s">
        <v>48</v>
      </c>
      <c r="B111" s="417" t="s">
        <v>56</v>
      </c>
      <c r="C111" s="417" t="s">
        <v>125</v>
      </c>
      <c r="D111" s="1111" t="s">
        <v>126</v>
      </c>
      <c r="E111" s="417">
        <v>1</v>
      </c>
      <c r="F111" s="100" t="str">
        <f t="shared" si="28"/>
        <v>ASSET-41</v>
      </c>
      <c r="G111" s="100">
        <f t="shared" si="29"/>
        <v>2</v>
      </c>
      <c r="H111" s="133" t="e">
        <f t="shared" ca="1" si="33"/>
        <v>#VALUE!</v>
      </c>
      <c r="I111" s="133">
        <f t="shared" ca="1" si="30"/>
        <v>0</v>
      </c>
      <c r="J111" s="136" t="s">
        <v>443</v>
      </c>
      <c r="K111" s="107" t="s">
        <v>1127</v>
      </c>
      <c r="L111" s="790">
        <f>VLOOKUP(CONCATENATE($K111,L$1),$F:$G,2,FALSE)</f>
        <v>2</v>
      </c>
      <c r="M111" s="790">
        <f t="shared" si="45"/>
        <v>5</v>
      </c>
      <c r="N111" s="790">
        <f t="shared" si="45"/>
        <v>4</v>
      </c>
      <c r="O111" s="792">
        <f t="shared" si="34"/>
        <v>11</v>
      </c>
      <c r="W111" s="1121" t="str">
        <f ca="1">AB111&amp;"-"&amp;COUNTIF($AB$2:$AB111,$AB111)</f>
        <v>0-1-0-17</v>
      </c>
      <c r="X111" s="1121" t="s">
        <v>125</v>
      </c>
      <c r="Y111" s="1123">
        <f t="shared" ca="1" si="42"/>
        <v>0</v>
      </c>
      <c r="Z111" s="1126">
        <v>1</v>
      </c>
      <c r="AA111" s="1123">
        <f t="shared" ca="1" si="32"/>
        <v>0</v>
      </c>
      <c r="AB111" s="1125" t="str">
        <f t="shared" ca="1" si="35"/>
        <v>0-1-0</v>
      </c>
    </row>
    <row r="112" spans="1:28" ht="15" customHeight="1" x14ac:dyDescent="0.2">
      <c r="A112" s="417" t="s">
        <v>48</v>
      </c>
      <c r="B112" s="417" t="s">
        <v>56</v>
      </c>
      <c r="C112" s="417" t="s">
        <v>128</v>
      </c>
      <c r="D112" s="1111" t="s">
        <v>129</v>
      </c>
      <c r="E112" s="417">
        <v>2</v>
      </c>
      <c r="F112" s="100" t="str">
        <f t="shared" si="28"/>
        <v>ASSET-42</v>
      </c>
      <c r="G112" s="100">
        <f t="shared" si="29"/>
        <v>2</v>
      </c>
      <c r="H112" s="133" t="e">
        <f t="shared" ca="1" si="33"/>
        <v>#VALUE!</v>
      </c>
      <c r="I112" s="133">
        <f t="shared" ca="1" si="30"/>
        <v>0</v>
      </c>
      <c r="J112" s="136" t="s">
        <v>444</v>
      </c>
      <c r="K112" s="107" t="s">
        <v>1146</v>
      </c>
      <c r="L112" s="790">
        <v>0</v>
      </c>
      <c r="M112" s="790">
        <f t="shared" si="45"/>
        <v>2</v>
      </c>
      <c r="N112" s="790">
        <f t="shared" si="45"/>
        <v>4</v>
      </c>
      <c r="O112" s="792">
        <f t="shared" si="34"/>
        <v>6</v>
      </c>
      <c r="W112" s="1121" t="str">
        <f ca="1">AB112&amp;"-"&amp;COUNTIF($AB$2:$AB112,$AB112)</f>
        <v>0-2-0-44</v>
      </c>
      <c r="X112" s="1121" t="s">
        <v>128</v>
      </c>
      <c r="Y112" s="1123">
        <f t="shared" ca="1" si="42"/>
        <v>0</v>
      </c>
      <c r="Z112" s="1126">
        <v>2</v>
      </c>
      <c r="AA112" s="1123">
        <f t="shared" ca="1" si="32"/>
        <v>0</v>
      </c>
      <c r="AB112" s="1125" t="str">
        <f t="shared" ca="1" si="35"/>
        <v>0-2-0</v>
      </c>
    </row>
    <row r="113" spans="1:28" ht="15" customHeight="1" x14ac:dyDescent="0.2">
      <c r="A113" s="417" t="s">
        <v>48</v>
      </c>
      <c r="B113" s="417" t="s">
        <v>56</v>
      </c>
      <c r="C113" s="417" t="s">
        <v>131</v>
      </c>
      <c r="D113" s="1111" t="s">
        <v>132</v>
      </c>
      <c r="E113" s="417">
        <v>2</v>
      </c>
      <c r="F113" s="100" t="str">
        <f t="shared" si="28"/>
        <v>ASSET-42</v>
      </c>
      <c r="G113" s="100">
        <f t="shared" si="29"/>
        <v>2</v>
      </c>
      <c r="H113" s="133" t="e">
        <f t="shared" ca="1" si="33"/>
        <v>#VALUE!</v>
      </c>
      <c r="I113" s="133">
        <f t="shared" ca="1" si="30"/>
        <v>0</v>
      </c>
      <c r="J113" s="136" t="s">
        <v>445</v>
      </c>
      <c r="K113" s="101" t="s">
        <v>66</v>
      </c>
      <c r="L113" s="791">
        <f>SUM(L114:L116)</f>
        <v>7</v>
      </c>
      <c r="M113" s="791">
        <f>SUM(M114:M116)</f>
        <v>11</v>
      </c>
      <c r="N113" s="791">
        <f>SUM(N114:N116)</f>
        <v>11</v>
      </c>
      <c r="O113" s="793">
        <f t="shared" si="34"/>
        <v>29</v>
      </c>
      <c r="W113" s="1121" t="str">
        <f ca="1">AB113&amp;"-"&amp;COUNTIF($AB$2:$AB113,$AB113)</f>
        <v>0-2-0-45</v>
      </c>
      <c r="X113" s="1121" t="s">
        <v>131</v>
      </c>
      <c r="Y113" s="1123">
        <f t="shared" ca="1" si="42"/>
        <v>0</v>
      </c>
      <c r="Z113" s="1126">
        <v>2</v>
      </c>
      <c r="AA113" s="1123">
        <f t="shared" ca="1" si="32"/>
        <v>0</v>
      </c>
      <c r="AB113" s="1125" t="str">
        <f t="shared" ca="1" si="35"/>
        <v>0-2-0</v>
      </c>
    </row>
    <row r="114" spans="1:28" ht="15" customHeight="1" x14ac:dyDescent="0.2">
      <c r="A114" s="417" t="s">
        <v>48</v>
      </c>
      <c r="B114" s="417" t="s">
        <v>56</v>
      </c>
      <c r="C114" s="417" t="s">
        <v>134</v>
      </c>
      <c r="D114" s="1111" t="s">
        <v>135</v>
      </c>
      <c r="E114" s="417">
        <v>3</v>
      </c>
      <c r="F114" s="100" t="str">
        <f t="shared" si="28"/>
        <v>ASSET-43</v>
      </c>
      <c r="G114" s="100">
        <f t="shared" si="29"/>
        <v>2</v>
      </c>
      <c r="H114" s="133" t="e">
        <f t="shared" ca="1" si="33"/>
        <v>#VALUE!</v>
      </c>
      <c r="I114" s="133">
        <f t="shared" ca="1" si="30"/>
        <v>0</v>
      </c>
      <c r="J114" s="136" t="s">
        <v>287</v>
      </c>
      <c r="K114" s="107" t="s">
        <v>73</v>
      </c>
      <c r="L114" s="790">
        <f>VLOOKUP(CONCATENATE($K114,L$1),$F:$G,2,FALSE)</f>
        <v>4</v>
      </c>
      <c r="M114" s="790">
        <f t="shared" ref="M114:N116" si="46">VLOOKUP(CONCATENATE($K114,M$1),$F:$G,2,FALSE)</f>
        <v>5</v>
      </c>
      <c r="N114" s="790">
        <f t="shared" si="46"/>
        <v>3</v>
      </c>
      <c r="O114" s="792">
        <f t="shared" si="34"/>
        <v>12</v>
      </c>
      <c r="W114" s="1121" t="str">
        <f ca="1">AB114&amp;"-"&amp;COUNTIF($AB$2:$AB114,$AB114)</f>
        <v>0-3-0-31</v>
      </c>
      <c r="X114" s="1121" t="s">
        <v>134</v>
      </c>
      <c r="Y114" s="1123">
        <f t="shared" ca="1" si="42"/>
        <v>0</v>
      </c>
      <c r="Z114" s="1126">
        <v>3</v>
      </c>
      <c r="AA114" s="1123">
        <f t="shared" ca="1" si="32"/>
        <v>0</v>
      </c>
      <c r="AB114" s="1125" t="str">
        <f t="shared" ca="1" si="35"/>
        <v>0-3-0</v>
      </c>
    </row>
    <row r="115" spans="1:28" ht="15" customHeight="1" x14ac:dyDescent="0.2">
      <c r="A115" s="417" t="s">
        <v>48</v>
      </c>
      <c r="B115" s="417" t="s">
        <v>56</v>
      </c>
      <c r="C115" s="417" t="s">
        <v>136</v>
      </c>
      <c r="D115" s="1111" t="s">
        <v>137</v>
      </c>
      <c r="E115" s="417">
        <v>3</v>
      </c>
      <c r="F115" s="100" t="str">
        <f t="shared" si="28"/>
        <v>ASSET-43</v>
      </c>
      <c r="G115" s="100">
        <f t="shared" si="29"/>
        <v>2</v>
      </c>
      <c r="H115" s="133" t="e">
        <f t="shared" ca="1" si="33"/>
        <v>#VALUE!</v>
      </c>
      <c r="I115" s="133">
        <f t="shared" ca="1" si="30"/>
        <v>0</v>
      </c>
      <c r="J115" s="136" t="s">
        <v>288</v>
      </c>
      <c r="K115" s="107" t="s">
        <v>76</v>
      </c>
      <c r="L115" s="790">
        <f>VLOOKUP(CONCATENATE($K115,L$1),$F:$G,2,FALSE)</f>
        <v>3</v>
      </c>
      <c r="M115" s="790">
        <f t="shared" si="46"/>
        <v>4</v>
      </c>
      <c r="N115" s="790">
        <f t="shared" si="46"/>
        <v>4</v>
      </c>
      <c r="O115" s="792">
        <f t="shared" si="34"/>
        <v>11</v>
      </c>
      <c r="W115" s="1121" t="str">
        <f ca="1">AB115&amp;"-"&amp;COUNTIF($AB$2:$AB115,$AB115)</f>
        <v>0-3-0-32</v>
      </c>
      <c r="X115" s="1121" t="s">
        <v>136</v>
      </c>
      <c r="Y115" s="1123">
        <f t="shared" ca="1" si="42"/>
        <v>0</v>
      </c>
      <c r="Z115" s="1126">
        <v>3</v>
      </c>
      <c r="AA115" s="1123">
        <f t="shared" ca="1" si="32"/>
        <v>0</v>
      </c>
      <c r="AB115" s="1125" t="str">
        <f t="shared" ca="1" si="35"/>
        <v>0-3-0</v>
      </c>
    </row>
    <row r="116" spans="1:28" ht="15" customHeight="1" x14ac:dyDescent="0.2">
      <c r="A116" s="417" t="s">
        <v>48</v>
      </c>
      <c r="B116" s="417" t="s">
        <v>59</v>
      </c>
      <c r="C116" s="417" t="s">
        <v>139</v>
      </c>
      <c r="D116" s="1111" t="s">
        <v>140</v>
      </c>
      <c r="E116" s="417">
        <v>2</v>
      </c>
      <c r="F116" s="100" t="str">
        <f t="shared" si="28"/>
        <v>ASSET-52</v>
      </c>
      <c r="G116" s="100">
        <f t="shared" si="29"/>
        <v>2</v>
      </c>
      <c r="H116" s="133" t="e">
        <f t="shared" ca="1" si="33"/>
        <v>#VALUE!</v>
      </c>
      <c r="I116" s="133">
        <f t="shared" ca="1" si="30"/>
        <v>0</v>
      </c>
      <c r="J116" s="136" t="s">
        <v>289</v>
      </c>
      <c r="K116" s="107" t="s">
        <v>79</v>
      </c>
      <c r="L116" s="790">
        <v>0</v>
      </c>
      <c r="M116" s="790">
        <f t="shared" si="46"/>
        <v>2</v>
      </c>
      <c r="N116" s="790">
        <f t="shared" si="46"/>
        <v>4</v>
      </c>
      <c r="O116" s="792">
        <f t="shared" si="34"/>
        <v>6</v>
      </c>
      <c r="W116" s="1121" t="str">
        <f ca="1">AB116&amp;"-"&amp;COUNTIF($AB$2:$AB116,$AB116)</f>
        <v>1-2-0-8</v>
      </c>
      <c r="X116" s="1121" t="s">
        <v>139</v>
      </c>
      <c r="Y116" s="1123">
        <f t="shared" ca="1" si="42"/>
        <v>1</v>
      </c>
      <c r="Z116" s="1126">
        <v>2</v>
      </c>
      <c r="AA116" s="1123">
        <f t="shared" ca="1" si="32"/>
        <v>0</v>
      </c>
      <c r="AB116" s="1125" t="str">
        <f t="shared" ca="1" si="35"/>
        <v>1-2-0</v>
      </c>
    </row>
    <row r="117" spans="1:28" ht="15" customHeight="1" x14ac:dyDescent="0.2">
      <c r="A117" s="417" t="s">
        <v>48</v>
      </c>
      <c r="B117" s="417" t="s">
        <v>59</v>
      </c>
      <c r="C117" s="417" t="s">
        <v>142</v>
      </c>
      <c r="D117" s="1111" t="s">
        <v>143</v>
      </c>
      <c r="E117" s="417">
        <v>2</v>
      </c>
      <c r="F117" s="100" t="str">
        <f t="shared" si="28"/>
        <v>ASSET-52</v>
      </c>
      <c r="G117" s="100">
        <f t="shared" si="29"/>
        <v>2</v>
      </c>
      <c r="H117" s="133" t="e">
        <f t="shared" ca="1" si="33"/>
        <v>#VALUE!</v>
      </c>
      <c r="I117" s="133">
        <f t="shared" ca="1" si="30"/>
        <v>0</v>
      </c>
      <c r="J117" s="136" t="s">
        <v>290</v>
      </c>
      <c r="K117" s="101" t="s">
        <v>77</v>
      </c>
      <c r="L117" s="791">
        <f>SUM(L118:L122)</f>
        <v>7</v>
      </c>
      <c r="M117" s="791">
        <f>SUM(M118:M122)</f>
        <v>11</v>
      </c>
      <c r="N117" s="791">
        <f>SUM(N118:N122)</f>
        <v>12</v>
      </c>
      <c r="O117" s="793">
        <f t="shared" si="34"/>
        <v>30</v>
      </c>
      <c r="W117" s="1121" t="str">
        <f ca="1">AB117&amp;"-"&amp;COUNTIF($AB$2:$AB117,$AB117)</f>
        <v>1-2-0-9</v>
      </c>
      <c r="X117" s="1121" t="s">
        <v>142</v>
      </c>
      <c r="Y117" s="1123">
        <f t="shared" ca="1" si="42"/>
        <v>1</v>
      </c>
      <c r="Z117" s="1126">
        <v>2</v>
      </c>
      <c r="AA117" s="1123">
        <f t="shared" ca="1" si="32"/>
        <v>0</v>
      </c>
      <c r="AB117" s="1125" t="str">
        <f t="shared" ca="1" si="35"/>
        <v>1-2-0</v>
      </c>
    </row>
    <row r="118" spans="1:28" ht="15" customHeight="1" x14ac:dyDescent="0.2">
      <c r="A118" s="417" t="s">
        <v>48</v>
      </c>
      <c r="B118" s="417" t="s">
        <v>59</v>
      </c>
      <c r="C118" s="417" t="s">
        <v>145</v>
      </c>
      <c r="D118" s="1111" t="s">
        <v>146</v>
      </c>
      <c r="E118" s="417">
        <v>3</v>
      </c>
      <c r="F118" s="100" t="str">
        <f t="shared" si="28"/>
        <v>ASSET-53</v>
      </c>
      <c r="G118" s="100">
        <f t="shared" si="29"/>
        <v>4</v>
      </c>
      <c r="H118" s="133" t="e">
        <f t="shared" ca="1" si="33"/>
        <v>#VALUE!</v>
      </c>
      <c r="I118" s="133">
        <f t="shared" ca="1" si="30"/>
        <v>0</v>
      </c>
      <c r="J118" s="136" t="s">
        <v>291</v>
      </c>
      <c r="K118" s="107" t="s">
        <v>110</v>
      </c>
      <c r="L118" s="790">
        <f>VLOOKUP(CONCATENATE($K118,L$1),$F:$G,2,FALSE)</f>
        <v>2</v>
      </c>
      <c r="M118" s="790">
        <f t="shared" ref="M118:N122" si="47">VLOOKUP(CONCATENATE($K118,M$1),$F:$G,2,FALSE)</f>
        <v>2</v>
      </c>
      <c r="N118" s="790">
        <f t="shared" si="47"/>
        <v>2</v>
      </c>
      <c r="O118" s="792">
        <f t="shared" si="34"/>
        <v>6</v>
      </c>
      <c r="W118" s="1121" t="str">
        <f ca="1">AB118&amp;"-"&amp;COUNTIF($AB$2:$AB118,$AB118)</f>
        <v>1-3-0-14</v>
      </c>
      <c r="X118" s="1121" t="s">
        <v>145</v>
      </c>
      <c r="Y118" s="1123">
        <f t="shared" ca="1" si="42"/>
        <v>1</v>
      </c>
      <c r="Z118" s="1126">
        <v>3</v>
      </c>
      <c r="AA118" s="1123">
        <f t="shared" ca="1" si="32"/>
        <v>0</v>
      </c>
      <c r="AB118" s="1125" t="str">
        <f t="shared" ca="1" si="35"/>
        <v>1-3-0</v>
      </c>
    </row>
    <row r="119" spans="1:28" ht="15" customHeight="1" x14ac:dyDescent="0.2">
      <c r="A119" s="417" t="s">
        <v>48</v>
      </c>
      <c r="B119" s="417" t="s">
        <v>59</v>
      </c>
      <c r="C119" s="417" t="s">
        <v>148</v>
      </c>
      <c r="D119" s="1111" t="s">
        <v>149</v>
      </c>
      <c r="E119" s="417">
        <v>3</v>
      </c>
      <c r="F119" s="100" t="str">
        <f t="shared" si="28"/>
        <v>ASSET-53</v>
      </c>
      <c r="G119" s="100">
        <f t="shared" si="29"/>
        <v>4</v>
      </c>
      <c r="H119" s="133" t="e">
        <f t="shared" ca="1" si="33"/>
        <v>#VALUE!</v>
      </c>
      <c r="I119" s="133">
        <f t="shared" ca="1" si="30"/>
        <v>0</v>
      </c>
      <c r="J119" s="136" t="s">
        <v>292</v>
      </c>
      <c r="K119" s="107" t="s">
        <v>112</v>
      </c>
      <c r="L119" s="790">
        <f>VLOOKUP(CONCATENATE($K119,L$1),$F:$G,2,FALSE)</f>
        <v>2</v>
      </c>
      <c r="M119" s="790">
        <f t="shared" si="47"/>
        <v>2</v>
      </c>
      <c r="N119" s="790">
        <f t="shared" si="47"/>
        <v>2</v>
      </c>
      <c r="O119" s="792">
        <f t="shared" si="34"/>
        <v>6</v>
      </c>
      <c r="W119" s="1121" t="str">
        <f ca="1">AB119&amp;"-"&amp;COUNTIF($AB$2:$AB119,$AB119)</f>
        <v>1-3-0-15</v>
      </c>
      <c r="X119" s="1121" t="s">
        <v>148</v>
      </c>
      <c r="Y119" s="1123">
        <f t="shared" ca="1" si="42"/>
        <v>1</v>
      </c>
      <c r="Z119" s="1126">
        <v>3</v>
      </c>
      <c r="AA119" s="1123">
        <f t="shared" ca="1" si="32"/>
        <v>0</v>
      </c>
      <c r="AB119" s="1125" t="str">
        <f t="shared" ca="1" si="35"/>
        <v>1-3-0</v>
      </c>
    </row>
    <row r="120" spans="1:28" ht="15" customHeight="1" x14ac:dyDescent="0.2">
      <c r="A120" s="417" t="s">
        <v>48</v>
      </c>
      <c r="B120" s="417" t="s">
        <v>59</v>
      </c>
      <c r="C120" s="417" t="s">
        <v>150</v>
      </c>
      <c r="D120" s="1111" t="s">
        <v>151</v>
      </c>
      <c r="E120" s="417">
        <v>3</v>
      </c>
      <c r="F120" s="100" t="str">
        <f t="shared" si="28"/>
        <v>ASSET-53</v>
      </c>
      <c r="G120" s="100">
        <f t="shared" si="29"/>
        <v>4</v>
      </c>
      <c r="H120" s="133" t="e">
        <f t="shared" ca="1" si="33"/>
        <v>#VALUE!</v>
      </c>
      <c r="I120" s="133">
        <f t="shared" ca="1" si="30"/>
        <v>0</v>
      </c>
      <c r="J120" s="136" t="s">
        <v>293</v>
      </c>
      <c r="K120" s="107" t="s">
        <v>114</v>
      </c>
      <c r="L120" s="790">
        <f>VLOOKUP(CONCATENATE($K120,L$1),$F:$G,2,FALSE)</f>
        <v>2</v>
      </c>
      <c r="M120" s="790">
        <f t="shared" si="47"/>
        <v>3</v>
      </c>
      <c r="N120" s="790">
        <f t="shared" si="47"/>
        <v>2</v>
      </c>
      <c r="O120" s="792">
        <f t="shared" si="34"/>
        <v>7</v>
      </c>
      <c r="W120" s="1121" t="str">
        <f ca="1">AB120&amp;"-"&amp;COUNTIF($AB$2:$AB120,$AB120)</f>
        <v>1-3-0-16</v>
      </c>
      <c r="X120" s="1121" t="s">
        <v>150</v>
      </c>
      <c r="Y120" s="1123">
        <f t="shared" ca="1" si="42"/>
        <v>1</v>
      </c>
      <c r="Z120" s="1126">
        <v>3</v>
      </c>
      <c r="AA120" s="1123">
        <f t="shared" ca="1" si="32"/>
        <v>0</v>
      </c>
      <c r="AB120" s="1125" t="str">
        <f t="shared" ca="1" si="35"/>
        <v>1-3-0</v>
      </c>
    </row>
    <row r="121" spans="1:28" ht="15" customHeight="1" x14ac:dyDescent="0.2">
      <c r="A121" s="417" t="s">
        <v>48</v>
      </c>
      <c r="B121" s="417" t="s">
        <v>59</v>
      </c>
      <c r="C121" s="417" t="s">
        <v>152</v>
      </c>
      <c r="D121" s="1111" t="s">
        <v>153</v>
      </c>
      <c r="E121" s="417">
        <v>3</v>
      </c>
      <c r="F121" s="100" t="str">
        <f t="shared" si="28"/>
        <v>ASSET-53</v>
      </c>
      <c r="G121" s="100">
        <f t="shared" si="29"/>
        <v>4</v>
      </c>
      <c r="H121" s="133" t="e">
        <f t="shared" ca="1" si="33"/>
        <v>#VALUE!</v>
      </c>
      <c r="I121" s="133">
        <f t="shared" ca="1" si="30"/>
        <v>0</v>
      </c>
      <c r="J121" s="136" t="s">
        <v>294</v>
      </c>
      <c r="K121" s="107" t="s">
        <v>116</v>
      </c>
      <c r="L121" s="790">
        <f>VLOOKUP(CONCATENATE($K121,L$1),$F:$G,2,FALSE)</f>
        <v>1</v>
      </c>
      <c r="M121" s="790">
        <f t="shared" si="47"/>
        <v>2</v>
      </c>
      <c r="N121" s="790">
        <f t="shared" si="47"/>
        <v>2</v>
      </c>
      <c r="O121" s="792">
        <f t="shared" si="34"/>
        <v>5</v>
      </c>
      <c r="W121" s="1121" t="str">
        <f ca="1">AB121&amp;"-"&amp;COUNTIF($AB$2:$AB121,$AB121)</f>
        <v>1-3-0-17</v>
      </c>
      <c r="X121" s="1121" t="s">
        <v>152</v>
      </c>
      <c r="Y121" s="1123">
        <f t="shared" ca="1" si="42"/>
        <v>1</v>
      </c>
      <c r="Z121" s="1126">
        <v>3</v>
      </c>
      <c r="AA121" s="1123">
        <f t="shared" ca="1" si="32"/>
        <v>0</v>
      </c>
      <c r="AB121" s="1125" t="str">
        <f t="shared" ca="1" si="35"/>
        <v>1-3-0</v>
      </c>
    </row>
    <row r="122" spans="1:28" ht="15" customHeight="1" x14ac:dyDescent="0.2">
      <c r="A122" s="130" t="s">
        <v>57</v>
      </c>
      <c r="B122" s="130" t="s">
        <v>154</v>
      </c>
      <c r="C122" s="130" t="s">
        <v>419</v>
      </c>
      <c r="D122" s="1112" t="s">
        <v>5</v>
      </c>
      <c r="E122" s="130">
        <v>1</v>
      </c>
      <c r="F122" s="100" t="str">
        <f t="shared" si="28"/>
        <v>CRITICAL-11</v>
      </c>
      <c r="G122" s="100">
        <f t="shared" si="29"/>
        <v>4</v>
      </c>
      <c r="H122" s="133" t="e">
        <f t="shared" ca="1" si="33"/>
        <v>#VALUE!</v>
      </c>
      <c r="I122" s="133">
        <f t="shared" ca="1" si="30"/>
        <v>0</v>
      </c>
      <c r="J122" s="136" t="s">
        <v>295</v>
      </c>
      <c r="K122" s="107" t="s">
        <v>118</v>
      </c>
      <c r="L122" s="790">
        <v>0</v>
      </c>
      <c r="M122" s="790">
        <f t="shared" si="47"/>
        <v>2</v>
      </c>
      <c r="N122" s="790">
        <f t="shared" si="47"/>
        <v>4</v>
      </c>
      <c r="O122" s="792">
        <f t="shared" si="34"/>
        <v>6</v>
      </c>
      <c r="W122" s="1121" t="str">
        <f ca="1">AB122&amp;"-"&amp;COUNTIF($AB$2:$AB122,$AB122)</f>
        <v>0-1-0-18</v>
      </c>
      <c r="X122" s="1121" t="s">
        <v>419</v>
      </c>
      <c r="Y122" s="1123">
        <f t="shared" ca="1" si="42"/>
        <v>0</v>
      </c>
      <c r="Z122" s="1126">
        <v>1</v>
      </c>
      <c r="AA122" s="1123">
        <f t="shared" ca="1" si="32"/>
        <v>0</v>
      </c>
      <c r="AB122" s="1125" t="str">
        <f t="shared" ca="1" si="35"/>
        <v>0-1-0</v>
      </c>
    </row>
    <row r="123" spans="1:28" ht="15" customHeight="1" x14ac:dyDescent="0.2">
      <c r="A123" s="130" t="s">
        <v>57</v>
      </c>
      <c r="B123" s="130" t="s">
        <v>154</v>
      </c>
      <c r="C123" s="130" t="s">
        <v>420</v>
      </c>
      <c r="D123" s="1112" t="s">
        <v>7</v>
      </c>
      <c r="E123" s="130">
        <v>1</v>
      </c>
      <c r="F123" s="100" t="str">
        <f t="shared" si="28"/>
        <v>CRITICAL-11</v>
      </c>
      <c r="G123" s="100">
        <f t="shared" si="29"/>
        <v>4</v>
      </c>
      <c r="H123" s="133" t="e">
        <f t="shared" ca="1" si="33"/>
        <v>#VALUE!</v>
      </c>
      <c r="I123" s="133">
        <f t="shared" ca="1" si="30"/>
        <v>0</v>
      </c>
      <c r="J123" s="136" t="s">
        <v>296</v>
      </c>
      <c r="W123" s="1121" t="str">
        <f ca="1">AB123&amp;"-"&amp;COUNTIF($AB$2:$AB123,$AB123)</f>
        <v>0-1-0-19</v>
      </c>
      <c r="X123" s="1121" t="s">
        <v>420</v>
      </c>
      <c r="Y123" s="1123">
        <f t="shared" ca="1" si="42"/>
        <v>0</v>
      </c>
      <c r="Z123" s="1126">
        <v>1</v>
      </c>
      <c r="AA123" s="1123">
        <f t="shared" ca="1" si="32"/>
        <v>0</v>
      </c>
      <c r="AB123" s="1125" t="str">
        <f t="shared" ca="1" si="35"/>
        <v>0-1-0</v>
      </c>
    </row>
    <row r="124" spans="1:28" ht="15" customHeight="1" x14ac:dyDescent="0.2">
      <c r="A124" s="130" t="s">
        <v>57</v>
      </c>
      <c r="B124" s="130" t="s">
        <v>154</v>
      </c>
      <c r="C124" s="130" t="s">
        <v>421</v>
      </c>
      <c r="D124" s="1112" t="s">
        <v>8</v>
      </c>
      <c r="E124" s="130">
        <v>1</v>
      </c>
      <c r="F124" s="100" t="str">
        <f t="shared" si="28"/>
        <v>CRITICAL-11</v>
      </c>
      <c r="G124" s="100">
        <f t="shared" si="29"/>
        <v>4</v>
      </c>
      <c r="H124" s="133" t="e">
        <f t="shared" ca="1" si="33"/>
        <v>#VALUE!</v>
      </c>
      <c r="I124" s="133">
        <f t="shared" ca="1" si="30"/>
        <v>0</v>
      </c>
      <c r="J124" s="136" t="s">
        <v>297</v>
      </c>
      <c r="W124" s="1121" t="str">
        <f ca="1">AB124&amp;"-"&amp;COUNTIF($AB$2:$AB124,$AB124)</f>
        <v>0-1-0-20</v>
      </c>
      <c r="X124" s="1121" t="s">
        <v>421</v>
      </c>
      <c r="Y124" s="1123">
        <f t="shared" ca="1" si="42"/>
        <v>0</v>
      </c>
      <c r="Z124" s="1126">
        <v>1</v>
      </c>
      <c r="AA124" s="1123">
        <f t="shared" ca="1" si="32"/>
        <v>0</v>
      </c>
      <c r="AB124" s="1125" t="str">
        <f t="shared" ca="1" si="35"/>
        <v>0-1-0</v>
      </c>
    </row>
    <row r="125" spans="1:28" ht="15" customHeight="1" x14ac:dyDescent="0.2">
      <c r="A125" s="130" t="s">
        <v>57</v>
      </c>
      <c r="B125" s="130" t="s">
        <v>154</v>
      </c>
      <c r="C125" s="130" t="s">
        <v>422</v>
      </c>
      <c r="D125" s="1112" t="s">
        <v>9</v>
      </c>
      <c r="E125" s="130">
        <v>1</v>
      </c>
      <c r="F125" s="100" t="str">
        <f t="shared" si="28"/>
        <v>CRITICAL-11</v>
      </c>
      <c r="G125" s="100">
        <f t="shared" si="29"/>
        <v>4</v>
      </c>
      <c r="H125" s="133" t="e">
        <f t="shared" ca="1" si="33"/>
        <v>#VALUE!</v>
      </c>
      <c r="I125" s="133">
        <f t="shared" ca="1" si="30"/>
        <v>0</v>
      </c>
      <c r="J125" s="136" t="s">
        <v>298</v>
      </c>
      <c r="W125" s="1121" t="str">
        <f ca="1">AB125&amp;"-"&amp;COUNTIF($AB$2:$AB125,$AB125)</f>
        <v>0-1-0-21</v>
      </c>
      <c r="X125" s="1121" t="s">
        <v>422</v>
      </c>
      <c r="Y125" s="1123">
        <f t="shared" ca="1" si="42"/>
        <v>0</v>
      </c>
      <c r="Z125" s="1126">
        <v>1</v>
      </c>
      <c r="AA125" s="1123">
        <f t="shared" ca="1" si="32"/>
        <v>0</v>
      </c>
      <c r="AB125" s="1125" t="str">
        <f t="shared" ca="1" si="35"/>
        <v>0-1-0</v>
      </c>
    </row>
    <row r="126" spans="1:28" ht="15" customHeight="1" x14ac:dyDescent="0.2">
      <c r="A126" s="130" t="s">
        <v>57</v>
      </c>
      <c r="B126" s="130" t="s">
        <v>154</v>
      </c>
      <c r="C126" s="130" t="s">
        <v>423</v>
      </c>
      <c r="D126" s="1112" t="s">
        <v>10</v>
      </c>
      <c r="E126" s="130">
        <v>2</v>
      </c>
      <c r="F126" s="100" t="str">
        <f t="shared" si="28"/>
        <v>CRITICAL-12</v>
      </c>
      <c r="G126" s="100">
        <f t="shared" si="29"/>
        <v>3</v>
      </c>
      <c r="H126" s="133" t="e">
        <f t="shared" ca="1" si="33"/>
        <v>#VALUE!</v>
      </c>
      <c r="I126" s="133">
        <f t="shared" ca="1" si="30"/>
        <v>0</v>
      </c>
      <c r="J126" s="136" t="s">
        <v>299</v>
      </c>
      <c r="W126" s="1121" t="str">
        <f ca="1">AB126&amp;"-"&amp;COUNTIF($AB$2:$AB126,$AB126)</f>
        <v>0-2-0-46</v>
      </c>
      <c r="X126" s="1121" t="s">
        <v>423</v>
      </c>
      <c r="Y126" s="1123">
        <f t="shared" ca="1" si="42"/>
        <v>0</v>
      </c>
      <c r="Z126" s="1126">
        <v>2</v>
      </c>
      <c r="AA126" s="1123">
        <f t="shared" ca="1" si="32"/>
        <v>0</v>
      </c>
      <c r="AB126" s="1125" t="str">
        <f t="shared" ca="1" si="35"/>
        <v>0-2-0</v>
      </c>
    </row>
    <row r="127" spans="1:28" ht="15" customHeight="1" x14ac:dyDescent="0.2">
      <c r="A127" s="130" t="s">
        <v>57</v>
      </c>
      <c r="B127" s="130" t="s">
        <v>154</v>
      </c>
      <c r="C127" s="130" t="s">
        <v>424</v>
      </c>
      <c r="D127" s="1112" t="s">
        <v>11</v>
      </c>
      <c r="E127" s="130">
        <v>2</v>
      </c>
      <c r="F127" s="100" t="str">
        <f t="shared" si="28"/>
        <v>CRITICAL-12</v>
      </c>
      <c r="G127" s="100">
        <f t="shared" si="29"/>
        <v>3</v>
      </c>
      <c r="H127" s="133" t="e">
        <f t="shared" ca="1" si="33"/>
        <v>#VALUE!</v>
      </c>
      <c r="I127" s="133">
        <f t="shared" ca="1" si="30"/>
        <v>0</v>
      </c>
      <c r="J127" s="136" t="s">
        <v>300</v>
      </c>
      <c r="W127" s="1121" t="str">
        <f ca="1">AB127&amp;"-"&amp;COUNTIF($AB$2:$AB127,$AB127)</f>
        <v>0-2-0-47</v>
      </c>
      <c r="X127" s="1121" t="s">
        <v>424</v>
      </c>
      <c r="Y127" s="1123">
        <f t="shared" ca="1" si="42"/>
        <v>0</v>
      </c>
      <c r="Z127" s="1126">
        <v>2</v>
      </c>
      <c r="AA127" s="1123">
        <f t="shared" ca="1" si="32"/>
        <v>0</v>
      </c>
      <c r="AB127" s="1125" t="str">
        <f t="shared" ca="1" si="35"/>
        <v>0-2-0</v>
      </c>
    </row>
    <row r="128" spans="1:28" ht="15" customHeight="1" x14ac:dyDescent="0.2">
      <c r="A128" s="130" t="s">
        <v>57</v>
      </c>
      <c r="B128" s="130" t="s">
        <v>154</v>
      </c>
      <c r="C128" s="130" t="s">
        <v>425</v>
      </c>
      <c r="D128" s="1112" t="s">
        <v>12</v>
      </c>
      <c r="E128" s="130">
        <v>2</v>
      </c>
      <c r="F128" s="100" t="str">
        <f t="shared" si="28"/>
        <v>CRITICAL-12</v>
      </c>
      <c r="G128" s="100">
        <f t="shared" si="29"/>
        <v>3</v>
      </c>
      <c r="H128" s="133" t="e">
        <f t="shared" ca="1" si="33"/>
        <v>#VALUE!</v>
      </c>
      <c r="I128" s="133">
        <f t="shared" ca="1" si="30"/>
        <v>0</v>
      </c>
      <c r="J128" s="136" t="s">
        <v>301</v>
      </c>
      <c r="W128" s="1121" t="str">
        <f ca="1">AB128&amp;"-"&amp;COUNTIF($AB$2:$AB128,$AB128)</f>
        <v>0-2-0-48</v>
      </c>
      <c r="X128" s="1121" t="s">
        <v>425</v>
      </c>
      <c r="Y128" s="1123">
        <f t="shared" ca="1" si="42"/>
        <v>0</v>
      </c>
      <c r="Z128" s="1126">
        <v>2</v>
      </c>
      <c r="AA128" s="1123">
        <f t="shared" ca="1" si="32"/>
        <v>0</v>
      </c>
      <c r="AB128" s="1125" t="str">
        <f t="shared" ca="1" si="35"/>
        <v>0-2-0</v>
      </c>
    </row>
    <row r="129" spans="1:28" ht="15" customHeight="1" x14ac:dyDescent="0.2">
      <c r="A129" s="130" t="s">
        <v>57</v>
      </c>
      <c r="B129" s="130" t="s">
        <v>154</v>
      </c>
      <c r="C129" s="130" t="s">
        <v>426</v>
      </c>
      <c r="D129" s="1112" t="s">
        <v>13</v>
      </c>
      <c r="E129" s="130">
        <v>3</v>
      </c>
      <c r="F129" s="100" t="str">
        <f t="shared" si="28"/>
        <v>CRITICAL-13</v>
      </c>
      <c r="G129" s="100">
        <f t="shared" si="29"/>
        <v>1</v>
      </c>
      <c r="H129" s="133" t="e">
        <f t="shared" ca="1" si="33"/>
        <v>#VALUE!</v>
      </c>
      <c r="I129" s="133">
        <f t="shared" ca="1" si="30"/>
        <v>0</v>
      </c>
      <c r="J129" s="136" t="s">
        <v>302</v>
      </c>
      <c r="W129" s="1121" t="str">
        <f ca="1">AB129&amp;"-"&amp;COUNTIF($AB$2:$AB129,$AB129)</f>
        <v>0-3-0-33</v>
      </c>
      <c r="X129" s="1121" t="s">
        <v>426</v>
      </c>
      <c r="Y129" s="1123">
        <f t="shared" ca="1" si="42"/>
        <v>0</v>
      </c>
      <c r="Z129" s="1126">
        <v>3</v>
      </c>
      <c r="AA129" s="1123">
        <f t="shared" ca="1" si="32"/>
        <v>0</v>
      </c>
      <c r="AB129" s="1125" t="str">
        <f t="shared" ca="1" si="35"/>
        <v>0-3-0</v>
      </c>
    </row>
    <row r="130" spans="1:28" ht="15" customHeight="1" x14ac:dyDescent="0.2">
      <c r="A130" s="130" t="s">
        <v>57</v>
      </c>
      <c r="B130" s="130" t="s">
        <v>157</v>
      </c>
      <c r="C130" s="130" t="s">
        <v>427</v>
      </c>
      <c r="D130" s="1112" t="s">
        <v>17</v>
      </c>
      <c r="E130" s="130">
        <v>1</v>
      </c>
      <c r="F130" s="100" t="str">
        <f t="shared" ref="F130:F193" si="48">CONCATENATE($B130,$E130)</f>
        <v>CRITICAL-21</v>
      </c>
      <c r="G130" s="100">
        <f t="shared" ref="G130:G193" si="49">COUNTIF($F:$F,$F130)</f>
        <v>2</v>
      </c>
      <c r="H130" s="133" t="e">
        <f t="shared" ca="1" si="33"/>
        <v>#VALUE!</v>
      </c>
      <c r="I130" s="133">
        <f t="shared" ref="I130:I193" ca="1" si="50">IFERROR(IF(H130&gt;2,1,0),0)</f>
        <v>0</v>
      </c>
      <c r="J130" s="136" t="s">
        <v>303</v>
      </c>
      <c r="W130" s="1121" t="str">
        <f ca="1">AB130&amp;"-"&amp;COUNTIF($AB$2:$AB130,$AB130)</f>
        <v>0-1-0-22</v>
      </c>
      <c r="X130" s="1121" t="s">
        <v>427</v>
      </c>
      <c r="Y130" s="1123">
        <f t="shared" ref="Y130:Y161" ca="1" si="51">VLOOKUP(LEFT($X130,LEN($X130)-1),$K:$O,5,FALSE)</f>
        <v>0</v>
      </c>
      <c r="Z130" s="1126">
        <v>1</v>
      </c>
      <c r="AA130" s="1123">
        <f t="shared" ref="AA130:AA193" ca="1" si="52">VLOOKUP(X130,C:I,7,FALSE)</f>
        <v>0</v>
      </c>
      <c r="AB130" s="1125" t="str">
        <f t="shared" ca="1" si="35"/>
        <v>0-1-0</v>
      </c>
    </row>
    <row r="131" spans="1:28" ht="15" customHeight="1" x14ac:dyDescent="0.2">
      <c r="A131" s="130" t="s">
        <v>57</v>
      </c>
      <c r="B131" s="130" t="s">
        <v>157</v>
      </c>
      <c r="C131" s="130" t="s">
        <v>428</v>
      </c>
      <c r="D131" s="1112" t="s">
        <v>18</v>
      </c>
      <c r="E131" s="130">
        <v>1</v>
      </c>
      <c r="F131" s="100" t="str">
        <f t="shared" si="48"/>
        <v>CRITICAL-21</v>
      </c>
      <c r="G131" s="100">
        <f t="shared" si="49"/>
        <v>2</v>
      </c>
      <c r="H131" s="133" t="e">
        <f t="shared" ref="H131:H194" ca="1" si="53">INT(LEFT(
VLOOKUP($D131, INDIRECT("'"&amp;$A131&amp;"'!"&amp;"$D:$G"), 4,FALSE), 1)
)</f>
        <v>#VALUE!</v>
      </c>
      <c r="I131" s="133">
        <f t="shared" ca="1" si="50"/>
        <v>0</v>
      </c>
      <c r="J131" s="136" t="s">
        <v>304</v>
      </c>
      <c r="W131" s="1121" t="str">
        <f ca="1">AB131&amp;"-"&amp;COUNTIF($AB$2:$AB131,$AB131)</f>
        <v>0-1-0-23</v>
      </c>
      <c r="X131" s="1121" t="s">
        <v>428</v>
      </c>
      <c r="Y131" s="1123">
        <f t="shared" ca="1" si="51"/>
        <v>0</v>
      </c>
      <c r="Z131" s="1126">
        <v>1</v>
      </c>
      <c r="AA131" s="1123">
        <f t="shared" ca="1" si="52"/>
        <v>0</v>
      </c>
      <c r="AB131" s="1125" t="str">
        <f t="shared" ref="AB131:AB195" ca="1" si="54">Y131&amp;"-"&amp;Z131&amp;"-"&amp;AA131</f>
        <v>0-1-0</v>
      </c>
    </row>
    <row r="132" spans="1:28" ht="15" customHeight="1" x14ac:dyDescent="0.2">
      <c r="A132" s="130" t="s">
        <v>57</v>
      </c>
      <c r="B132" s="130" t="s">
        <v>157</v>
      </c>
      <c r="C132" s="130" t="s">
        <v>429</v>
      </c>
      <c r="D132" s="1112" t="s">
        <v>19</v>
      </c>
      <c r="E132" s="130">
        <v>2</v>
      </c>
      <c r="F132" s="100" t="str">
        <f t="shared" si="48"/>
        <v>CRITICAL-22</v>
      </c>
      <c r="G132" s="100">
        <f t="shared" si="49"/>
        <v>7</v>
      </c>
      <c r="H132" s="133" t="e">
        <f t="shared" ca="1" si="53"/>
        <v>#VALUE!</v>
      </c>
      <c r="I132" s="133">
        <f t="shared" ca="1" si="50"/>
        <v>0</v>
      </c>
      <c r="J132" s="136" t="s">
        <v>305</v>
      </c>
      <c r="W132" s="1121" t="str">
        <f ca="1">AB132&amp;"-"&amp;COUNTIF($AB$2:$AB132,$AB132)</f>
        <v>0-2-0-49</v>
      </c>
      <c r="X132" s="1121" t="s">
        <v>429</v>
      </c>
      <c r="Y132" s="1123">
        <f t="shared" ca="1" si="51"/>
        <v>0</v>
      </c>
      <c r="Z132" s="1126">
        <v>2</v>
      </c>
      <c r="AA132" s="1123">
        <f t="shared" ca="1" si="52"/>
        <v>0</v>
      </c>
      <c r="AB132" s="1125" t="str">
        <f t="shared" ca="1" si="54"/>
        <v>0-2-0</v>
      </c>
    </row>
    <row r="133" spans="1:28" ht="15" customHeight="1" x14ac:dyDescent="0.2">
      <c r="A133" s="130" t="s">
        <v>57</v>
      </c>
      <c r="B133" s="130" t="s">
        <v>157</v>
      </c>
      <c r="C133" s="130" t="s">
        <v>430</v>
      </c>
      <c r="D133" s="1112" t="s">
        <v>20</v>
      </c>
      <c r="E133" s="130">
        <v>2</v>
      </c>
      <c r="F133" s="100" t="str">
        <f t="shared" si="48"/>
        <v>CRITICAL-22</v>
      </c>
      <c r="G133" s="100">
        <f t="shared" si="49"/>
        <v>7</v>
      </c>
      <c r="H133" s="133" t="e">
        <f t="shared" ca="1" si="53"/>
        <v>#VALUE!</v>
      </c>
      <c r="I133" s="133">
        <f t="shared" ca="1" si="50"/>
        <v>0</v>
      </c>
      <c r="J133" s="136" t="s">
        <v>306</v>
      </c>
      <c r="W133" s="1121" t="str">
        <f ca="1">AB133&amp;"-"&amp;COUNTIF($AB$2:$AB133,$AB133)</f>
        <v>0-2-0-50</v>
      </c>
      <c r="X133" s="1121" t="s">
        <v>430</v>
      </c>
      <c r="Y133" s="1123">
        <f t="shared" ca="1" si="51"/>
        <v>0</v>
      </c>
      <c r="Z133" s="1126">
        <v>2</v>
      </c>
      <c r="AA133" s="1123">
        <f t="shared" ca="1" si="52"/>
        <v>0</v>
      </c>
      <c r="AB133" s="1125" t="str">
        <f t="shared" ca="1" si="54"/>
        <v>0-2-0</v>
      </c>
    </row>
    <row r="134" spans="1:28" ht="15" customHeight="1" x14ac:dyDescent="0.2">
      <c r="A134" s="130" t="s">
        <v>57</v>
      </c>
      <c r="B134" s="130" t="s">
        <v>157</v>
      </c>
      <c r="C134" s="130" t="s">
        <v>431</v>
      </c>
      <c r="D134" s="1112" t="s">
        <v>21</v>
      </c>
      <c r="E134" s="130">
        <v>2</v>
      </c>
      <c r="F134" s="100" t="str">
        <f t="shared" si="48"/>
        <v>CRITICAL-22</v>
      </c>
      <c r="G134" s="100">
        <f t="shared" si="49"/>
        <v>7</v>
      </c>
      <c r="H134" s="133" t="e">
        <f t="shared" ca="1" si="53"/>
        <v>#VALUE!</v>
      </c>
      <c r="I134" s="133">
        <f t="shared" ca="1" si="50"/>
        <v>0</v>
      </c>
      <c r="J134" s="136" t="s">
        <v>307</v>
      </c>
      <c r="W134" s="1121" t="str">
        <f ca="1">AB134&amp;"-"&amp;COUNTIF($AB$2:$AB134,$AB134)</f>
        <v>0-2-0-51</v>
      </c>
      <c r="X134" s="1121" t="s">
        <v>431</v>
      </c>
      <c r="Y134" s="1123">
        <f t="shared" ca="1" si="51"/>
        <v>0</v>
      </c>
      <c r="Z134" s="1126">
        <v>2</v>
      </c>
      <c r="AA134" s="1123">
        <f t="shared" ca="1" si="52"/>
        <v>0</v>
      </c>
      <c r="AB134" s="1125" t="str">
        <f t="shared" ca="1" si="54"/>
        <v>0-2-0</v>
      </c>
    </row>
    <row r="135" spans="1:28" ht="15" customHeight="1" x14ac:dyDescent="0.2">
      <c r="A135" s="130" t="s">
        <v>57</v>
      </c>
      <c r="B135" s="130" t="s">
        <v>157</v>
      </c>
      <c r="C135" s="130" t="s">
        <v>432</v>
      </c>
      <c r="D135" s="1112" t="s">
        <v>109</v>
      </c>
      <c r="E135" s="130">
        <v>2</v>
      </c>
      <c r="F135" s="100" t="str">
        <f t="shared" si="48"/>
        <v>CRITICAL-22</v>
      </c>
      <c r="G135" s="100">
        <f t="shared" si="49"/>
        <v>7</v>
      </c>
      <c r="H135" s="133" t="e">
        <f t="shared" ca="1" si="53"/>
        <v>#VALUE!</v>
      </c>
      <c r="I135" s="133">
        <f t="shared" ca="1" si="50"/>
        <v>0</v>
      </c>
      <c r="J135" s="136" t="s">
        <v>308</v>
      </c>
      <c r="W135" s="1121" t="str">
        <f ca="1">AB135&amp;"-"&amp;COUNTIF($AB$2:$AB135,$AB135)</f>
        <v>0-2-0-52</v>
      </c>
      <c r="X135" s="1121" t="s">
        <v>432</v>
      </c>
      <c r="Y135" s="1123">
        <f t="shared" ca="1" si="51"/>
        <v>0</v>
      </c>
      <c r="Z135" s="1126">
        <v>2</v>
      </c>
      <c r="AA135" s="1123">
        <f t="shared" ca="1" si="52"/>
        <v>0</v>
      </c>
      <c r="AB135" s="1125" t="str">
        <f t="shared" ca="1" si="54"/>
        <v>0-2-0</v>
      </c>
    </row>
    <row r="136" spans="1:28" ht="15" customHeight="1" x14ac:dyDescent="0.2">
      <c r="A136" s="130" t="s">
        <v>57</v>
      </c>
      <c r="B136" s="130" t="s">
        <v>157</v>
      </c>
      <c r="C136" s="130" t="s">
        <v>433</v>
      </c>
      <c r="D136" s="1112" t="s">
        <v>173</v>
      </c>
      <c r="E136" s="130">
        <v>2</v>
      </c>
      <c r="F136" s="100" t="str">
        <f t="shared" si="48"/>
        <v>CRITICAL-22</v>
      </c>
      <c r="G136" s="100">
        <f t="shared" si="49"/>
        <v>7</v>
      </c>
      <c r="H136" s="133" t="e">
        <f t="shared" ca="1" si="53"/>
        <v>#VALUE!</v>
      </c>
      <c r="I136" s="133">
        <f t="shared" ca="1" si="50"/>
        <v>0</v>
      </c>
      <c r="J136" s="136" t="s">
        <v>309</v>
      </c>
      <c r="W136" s="1121" t="str">
        <f ca="1">AB136&amp;"-"&amp;COUNTIF($AB$2:$AB136,$AB136)</f>
        <v>0-2-0-53</v>
      </c>
      <c r="X136" s="1121" t="s">
        <v>433</v>
      </c>
      <c r="Y136" s="1123">
        <f t="shared" ca="1" si="51"/>
        <v>0</v>
      </c>
      <c r="Z136" s="1126">
        <v>2</v>
      </c>
      <c r="AA136" s="1123">
        <f t="shared" ca="1" si="52"/>
        <v>0</v>
      </c>
      <c r="AB136" s="1125" t="str">
        <f t="shared" ca="1" si="54"/>
        <v>0-2-0</v>
      </c>
    </row>
    <row r="137" spans="1:28" ht="15" customHeight="1" x14ac:dyDescent="0.2">
      <c r="A137" s="130" t="s">
        <v>57</v>
      </c>
      <c r="B137" s="130" t="s">
        <v>157</v>
      </c>
      <c r="C137" s="130" t="s">
        <v>434</v>
      </c>
      <c r="D137" s="1112" t="s">
        <v>175</v>
      </c>
      <c r="E137" s="130">
        <v>2</v>
      </c>
      <c r="F137" s="100" t="str">
        <f t="shared" si="48"/>
        <v>CRITICAL-22</v>
      </c>
      <c r="G137" s="100">
        <f t="shared" si="49"/>
        <v>7</v>
      </c>
      <c r="H137" s="133" t="e">
        <f t="shared" ca="1" si="53"/>
        <v>#VALUE!</v>
      </c>
      <c r="I137" s="133">
        <f t="shared" ca="1" si="50"/>
        <v>0</v>
      </c>
      <c r="J137" s="136" t="s">
        <v>310</v>
      </c>
      <c r="W137" s="1121" t="str">
        <f ca="1">AB137&amp;"-"&amp;COUNTIF($AB$2:$AB137,$AB137)</f>
        <v>0-2-0-54</v>
      </c>
      <c r="X137" s="1121" t="s">
        <v>434</v>
      </c>
      <c r="Y137" s="1123">
        <f t="shared" ca="1" si="51"/>
        <v>0</v>
      </c>
      <c r="Z137" s="1126">
        <v>2</v>
      </c>
      <c r="AA137" s="1123">
        <f t="shared" ca="1" si="52"/>
        <v>0</v>
      </c>
      <c r="AB137" s="1125" t="str">
        <f t="shared" ca="1" si="54"/>
        <v>0-2-0</v>
      </c>
    </row>
    <row r="138" spans="1:28" ht="15" customHeight="1" x14ac:dyDescent="0.2">
      <c r="A138" s="130" t="s">
        <v>57</v>
      </c>
      <c r="B138" s="130" t="s">
        <v>157</v>
      </c>
      <c r="C138" s="130" t="s">
        <v>435</v>
      </c>
      <c r="D138" s="1112" t="s">
        <v>206</v>
      </c>
      <c r="E138" s="130">
        <v>2</v>
      </c>
      <c r="F138" s="100" t="str">
        <f t="shared" si="48"/>
        <v>CRITICAL-22</v>
      </c>
      <c r="G138" s="100">
        <f t="shared" si="49"/>
        <v>7</v>
      </c>
      <c r="H138" s="133" t="e">
        <f t="shared" ca="1" si="53"/>
        <v>#VALUE!</v>
      </c>
      <c r="I138" s="133">
        <f t="shared" ca="1" si="50"/>
        <v>0</v>
      </c>
      <c r="J138" s="136" t="s">
        <v>311</v>
      </c>
      <c r="W138" s="1121" t="str">
        <f ca="1">AB138&amp;"-"&amp;COUNTIF($AB$2:$AB138,$AB138)</f>
        <v>0-2-0-55</v>
      </c>
      <c r="X138" s="1121" t="s">
        <v>435</v>
      </c>
      <c r="Y138" s="1123">
        <f t="shared" ca="1" si="51"/>
        <v>0</v>
      </c>
      <c r="Z138" s="1126">
        <v>2</v>
      </c>
      <c r="AA138" s="1123">
        <f t="shared" ca="1" si="52"/>
        <v>0</v>
      </c>
      <c r="AB138" s="1125" t="str">
        <f t="shared" ca="1" si="54"/>
        <v>0-2-0</v>
      </c>
    </row>
    <row r="139" spans="1:28" ht="15" customHeight="1" x14ac:dyDescent="0.2">
      <c r="A139" s="130" t="s">
        <v>57</v>
      </c>
      <c r="B139" s="130" t="s">
        <v>157</v>
      </c>
      <c r="C139" s="130" t="s">
        <v>436</v>
      </c>
      <c r="D139" s="1112" t="s">
        <v>208</v>
      </c>
      <c r="E139" s="130">
        <v>3</v>
      </c>
      <c r="F139" s="100" t="str">
        <f t="shared" si="48"/>
        <v>CRITICAL-23</v>
      </c>
      <c r="G139" s="100">
        <f t="shared" si="49"/>
        <v>2</v>
      </c>
      <c r="H139" s="133" t="e">
        <f t="shared" ca="1" si="53"/>
        <v>#VALUE!</v>
      </c>
      <c r="I139" s="133">
        <f t="shared" ca="1" si="50"/>
        <v>0</v>
      </c>
      <c r="J139" s="136" t="s">
        <v>312</v>
      </c>
      <c r="W139" s="1121" t="str">
        <f ca="1">AB139&amp;"-"&amp;COUNTIF($AB$2:$AB139,$AB139)</f>
        <v>0-3-0-34</v>
      </c>
      <c r="X139" s="1121" t="s">
        <v>436</v>
      </c>
      <c r="Y139" s="1123">
        <f t="shared" ca="1" si="51"/>
        <v>0</v>
      </c>
      <c r="Z139" s="1126">
        <v>3</v>
      </c>
      <c r="AA139" s="1123">
        <f t="shared" ca="1" si="52"/>
        <v>0</v>
      </c>
      <c r="AB139" s="1125" t="str">
        <f t="shared" ca="1" si="54"/>
        <v>0-3-0</v>
      </c>
    </row>
    <row r="140" spans="1:28" ht="15" customHeight="1" x14ac:dyDescent="0.2">
      <c r="A140" s="130" t="s">
        <v>57</v>
      </c>
      <c r="B140" s="130" t="s">
        <v>157</v>
      </c>
      <c r="C140" s="130" t="s">
        <v>437</v>
      </c>
      <c r="D140" s="1112" t="s">
        <v>210</v>
      </c>
      <c r="E140" s="130">
        <v>3</v>
      </c>
      <c r="F140" s="100" t="str">
        <f t="shared" si="48"/>
        <v>CRITICAL-23</v>
      </c>
      <c r="G140" s="100">
        <f t="shared" si="49"/>
        <v>2</v>
      </c>
      <c r="H140" s="133" t="e">
        <f t="shared" ca="1" si="53"/>
        <v>#VALUE!</v>
      </c>
      <c r="I140" s="133">
        <f t="shared" ca="1" si="50"/>
        <v>0</v>
      </c>
      <c r="J140" s="136" t="s">
        <v>313</v>
      </c>
      <c r="W140" s="1121" t="str">
        <f ca="1">AB140&amp;"-"&amp;COUNTIF($AB$2:$AB140,$AB140)</f>
        <v>0-3-0-35</v>
      </c>
      <c r="X140" s="1121" t="s">
        <v>437</v>
      </c>
      <c r="Y140" s="1123">
        <f t="shared" ca="1" si="51"/>
        <v>0</v>
      </c>
      <c r="Z140" s="1126">
        <v>3</v>
      </c>
      <c r="AA140" s="1123">
        <f t="shared" ca="1" si="52"/>
        <v>0</v>
      </c>
      <c r="AB140" s="1125" t="str">
        <f t="shared" ca="1" si="54"/>
        <v>0-3-0</v>
      </c>
    </row>
    <row r="141" spans="1:28" ht="15" customHeight="1" x14ac:dyDescent="0.2">
      <c r="A141" s="130" t="s">
        <v>57</v>
      </c>
      <c r="B141" s="130" t="s">
        <v>159</v>
      </c>
      <c r="C141" s="130" t="s">
        <v>438</v>
      </c>
      <c r="D141" s="1112" t="s">
        <v>22</v>
      </c>
      <c r="E141" s="130">
        <v>1</v>
      </c>
      <c r="F141" s="100" t="str">
        <f t="shared" si="48"/>
        <v>CRITICAL-31</v>
      </c>
      <c r="G141" s="100">
        <f t="shared" si="49"/>
        <v>4</v>
      </c>
      <c r="H141" s="133" t="e">
        <f t="shared" ca="1" si="53"/>
        <v>#VALUE!</v>
      </c>
      <c r="I141" s="133">
        <f t="shared" ca="1" si="50"/>
        <v>0</v>
      </c>
      <c r="J141" s="136" t="s">
        <v>314</v>
      </c>
      <c r="W141" s="1121" t="str">
        <f ca="1">AB141&amp;"-"&amp;COUNTIF($AB$2:$AB141,$AB141)</f>
        <v>0-1-0-24</v>
      </c>
      <c r="X141" s="1121" t="s">
        <v>438</v>
      </c>
      <c r="Y141" s="1123">
        <f t="shared" ca="1" si="51"/>
        <v>0</v>
      </c>
      <c r="Z141" s="1126">
        <v>1</v>
      </c>
      <c r="AA141" s="1123">
        <f t="shared" ca="1" si="52"/>
        <v>0</v>
      </c>
      <c r="AB141" s="1125" t="str">
        <f t="shared" ca="1" si="54"/>
        <v>0-1-0</v>
      </c>
    </row>
    <row r="142" spans="1:28" ht="15" customHeight="1" x14ac:dyDescent="0.2">
      <c r="A142" s="130" t="s">
        <v>57</v>
      </c>
      <c r="B142" s="130" t="s">
        <v>159</v>
      </c>
      <c r="C142" s="130" t="s">
        <v>439</v>
      </c>
      <c r="D142" s="1112" t="s">
        <v>23</v>
      </c>
      <c r="E142" s="130">
        <v>1</v>
      </c>
      <c r="F142" s="100" t="str">
        <f t="shared" si="48"/>
        <v>CRITICAL-31</v>
      </c>
      <c r="G142" s="100">
        <f t="shared" si="49"/>
        <v>4</v>
      </c>
      <c r="H142" s="133" t="e">
        <f t="shared" ca="1" si="53"/>
        <v>#VALUE!</v>
      </c>
      <c r="I142" s="133">
        <f t="shared" ca="1" si="50"/>
        <v>0</v>
      </c>
      <c r="J142" s="136" t="s">
        <v>379</v>
      </c>
      <c r="W142" s="1121" t="str">
        <f ca="1">AB142&amp;"-"&amp;COUNTIF($AB$2:$AB142,$AB142)</f>
        <v>0-1-0-25</v>
      </c>
      <c r="X142" s="1121" t="s">
        <v>439</v>
      </c>
      <c r="Y142" s="1123">
        <f t="shared" ca="1" si="51"/>
        <v>0</v>
      </c>
      <c r="Z142" s="1126">
        <v>1</v>
      </c>
      <c r="AA142" s="1123">
        <f t="shared" ca="1" si="52"/>
        <v>0</v>
      </c>
      <c r="AB142" s="1125" t="str">
        <f t="shared" ca="1" si="54"/>
        <v>0-1-0</v>
      </c>
    </row>
    <row r="143" spans="1:28" ht="15" customHeight="1" x14ac:dyDescent="0.2">
      <c r="A143" s="130" t="s">
        <v>57</v>
      </c>
      <c r="B143" s="130" t="s">
        <v>159</v>
      </c>
      <c r="C143" s="130" t="s">
        <v>440</v>
      </c>
      <c r="D143" s="1112" t="s">
        <v>24</v>
      </c>
      <c r="E143" s="130">
        <v>1</v>
      </c>
      <c r="F143" s="100" t="str">
        <f t="shared" si="48"/>
        <v>CRITICAL-31</v>
      </c>
      <c r="G143" s="100">
        <f t="shared" si="49"/>
        <v>4</v>
      </c>
      <c r="H143" s="133" t="e">
        <f t="shared" ca="1" si="53"/>
        <v>#VALUE!</v>
      </c>
      <c r="I143" s="133">
        <f t="shared" ca="1" si="50"/>
        <v>0</v>
      </c>
      <c r="J143" s="136" t="s">
        <v>380</v>
      </c>
      <c r="W143" s="1121" t="str">
        <f ca="1">AB143&amp;"-"&amp;COUNTIF($AB$2:$AB143,$AB143)</f>
        <v>0-1-0-26</v>
      </c>
      <c r="X143" s="1121" t="s">
        <v>440</v>
      </c>
      <c r="Y143" s="1123">
        <f t="shared" ca="1" si="51"/>
        <v>0</v>
      </c>
      <c r="Z143" s="1126">
        <v>1</v>
      </c>
      <c r="AA143" s="1123">
        <f t="shared" ca="1" si="52"/>
        <v>0</v>
      </c>
      <c r="AB143" s="1125" t="str">
        <f t="shared" ca="1" si="54"/>
        <v>0-1-0</v>
      </c>
    </row>
    <row r="144" spans="1:28" ht="15" customHeight="1" x14ac:dyDescent="0.2">
      <c r="A144" s="130" t="s">
        <v>57</v>
      </c>
      <c r="B144" s="130" t="s">
        <v>159</v>
      </c>
      <c r="C144" s="130" t="s">
        <v>441</v>
      </c>
      <c r="D144" s="1112" t="s">
        <v>25</v>
      </c>
      <c r="E144" s="130">
        <v>1</v>
      </c>
      <c r="F144" s="100" t="str">
        <f t="shared" si="48"/>
        <v>CRITICAL-31</v>
      </c>
      <c r="G144" s="100">
        <f t="shared" si="49"/>
        <v>4</v>
      </c>
      <c r="H144" s="133" t="e">
        <f t="shared" ca="1" si="53"/>
        <v>#VALUE!</v>
      </c>
      <c r="I144" s="133">
        <f t="shared" ca="1" si="50"/>
        <v>0</v>
      </c>
      <c r="J144" s="136" t="s">
        <v>381</v>
      </c>
      <c r="W144" s="1121" t="str">
        <f ca="1">AB144&amp;"-"&amp;COUNTIF($AB$2:$AB144,$AB144)</f>
        <v>0-1-0-27</v>
      </c>
      <c r="X144" s="1121" t="s">
        <v>441</v>
      </c>
      <c r="Y144" s="1123">
        <f t="shared" ca="1" si="51"/>
        <v>0</v>
      </c>
      <c r="Z144" s="1126">
        <v>1</v>
      </c>
      <c r="AA144" s="1123">
        <f t="shared" ca="1" si="52"/>
        <v>0</v>
      </c>
      <c r="AB144" s="1125" t="str">
        <f t="shared" ca="1" si="54"/>
        <v>0-1-0</v>
      </c>
    </row>
    <row r="145" spans="1:28" ht="15" customHeight="1" x14ac:dyDescent="0.2">
      <c r="A145" s="130" t="s">
        <v>57</v>
      </c>
      <c r="B145" s="130" t="s">
        <v>159</v>
      </c>
      <c r="C145" s="130" t="s">
        <v>442</v>
      </c>
      <c r="D145" s="1112" t="s">
        <v>26</v>
      </c>
      <c r="E145" s="130">
        <v>2</v>
      </c>
      <c r="F145" s="100" t="str">
        <f t="shared" si="48"/>
        <v>CRITICAL-32</v>
      </c>
      <c r="G145" s="100">
        <f t="shared" si="49"/>
        <v>2</v>
      </c>
      <c r="H145" s="133" t="e">
        <f t="shared" ca="1" si="53"/>
        <v>#VALUE!</v>
      </c>
      <c r="I145" s="133">
        <f t="shared" ca="1" si="50"/>
        <v>0</v>
      </c>
      <c r="J145" s="136" t="s">
        <v>382</v>
      </c>
      <c r="W145" s="1121" t="str">
        <f ca="1">AB145&amp;"-"&amp;COUNTIF($AB$2:$AB145,$AB145)</f>
        <v>0-2-0-56</v>
      </c>
      <c r="X145" s="1121" t="s">
        <v>442</v>
      </c>
      <c r="Y145" s="1123">
        <f t="shared" ca="1" si="51"/>
        <v>0</v>
      </c>
      <c r="Z145" s="1126">
        <v>2</v>
      </c>
      <c r="AA145" s="1123">
        <f t="shared" ca="1" si="52"/>
        <v>0</v>
      </c>
      <c r="AB145" s="1125" t="str">
        <f t="shared" ca="1" si="54"/>
        <v>0-2-0</v>
      </c>
    </row>
    <row r="146" spans="1:28" ht="15" customHeight="1" x14ac:dyDescent="0.2">
      <c r="A146" s="130" t="s">
        <v>57</v>
      </c>
      <c r="B146" s="130" t="s">
        <v>159</v>
      </c>
      <c r="C146" s="130" t="s">
        <v>443</v>
      </c>
      <c r="D146" s="1112" t="s">
        <v>27</v>
      </c>
      <c r="E146" s="130">
        <v>2</v>
      </c>
      <c r="F146" s="100" t="str">
        <f t="shared" si="48"/>
        <v>CRITICAL-32</v>
      </c>
      <c r="G146" s="100">
        <f t="shared" si="49"/>
        <v>2</v>
      </c>
      <c r="H146" s="133" t="e">
        <f t="shared" ca="1" si="53"/>
        <v>#VALUE!</v>
      </c>
      <c r="I146" s="133">
        <f t="shared" ca="1" si="50"/>
        <v>0</v>
      </c>
      <c r="J146" s="136" t="s">
        <v>383</v>
      </c>
      <c r="W146" s="1121" t="str">
        <f ca="1">AB146&amp;"-"&amp;COUNTIF($AB$2:$AB146,$AB146)</f>
        <v>0-2-0-57</v>
      </c>
      <c r="X146" s="1121" t="s">
        <v>443</v>
      </c>
      <c r="Y146" s="1123">
        <f t="shared" ca="1" si="51"/>
        <v>0</v>
      </c>
      <c r="Z146" s="1126">
        <v>2</v>
      </c>
      <c r="AA146" s="1123">
        <f t="shared" ca="1" si="52"/>
        <v>0</v>
      </c>
      <c r="AB146" s="1125" t="str">
        <f t="shared" ca="1" si="54"/>
        <v>0-2-0</v>
      </c>
    </row>
    <row r="147" spans="1:28" ht="15" customHeight="1" x14ac:dyDescent="0.2">
      <c r="A147" s="130" t="s">
        <v>57</v>
      </c>
      <c r="B147" s="130" t="s">
        <v>159</v>
      </c>
      <c r="C147" s="130" t="s">
        <v>444</v>
      </c>
      <c r="D147" s="1112" t="s">
        <v>28</v>
      </c>
      <c r="E147" s="130">
        <v>3</v>
      </c>
      <c r="F147" s="100" t="str">
        <f t="shared" si="48"/>
        <v>CRITICAL-33</v>
      </c>
      <c r="G147" s="100">
        <f t="shared" si="49"/>
        <v>2</v>
      </c>
      <c r="H147" s="133" t="e">
        <f t="shared" ca="1" si="53"/>
        <v>#VALUE!</v>
      </c>
      <c r="I147" s="133">
        <f t="shared" ca="1" si="50"/>
        <v>0</v>
      </c>
      <c r="J147" s="136" t="s">
        <v>384</v>
      </c>
      <c r="W147" s="1121" t="str">
        <f ca="1">AB147&amp;"-"&amp;COUNTIF($AB$2:$AB147,$AB147)</f>
        <v>0-3-0-36</v>
      </c>
      <c r="X147" s="1121" t="s">
        <v>444</v>
      </c>
      <c r="Y147" s="1123">
        <f t="shared" ca="1" si="51"/>
        <v>0</v>
      </c>
      <c r="Z147" s="1126">
        <v>3</v>
      </c>
      <c r="AA147" s="1123">
        <f t="shared" ca="1" si="52"/>
        <v>0</v>
      </c>
      <c r="AB147" s="1125" t="str">
        <f t="shared" ca="1" si="54"/>
        <v>0-3-0</v>
      </c>
    </row>
    <row r="148" spans="1:28" ht="15" customHeight="1" x14ac:dyDescent="0.2">
      <c r="A148" s="130" t="s">
        <v>57</v>
      </c>
      <c r="B148" s="130" t="s">
        <v>159</v>
      </c>
      <c r="C148" s="130" t="s">
        <v>445</v>
      </c>
      <c r="D148" s="1112" t="s">
        <v>244</v>
      </c>
      <c r="E148" s="130">
        <v>3</v>
      </c>
      <c r="F148" s="100" t="str">
        <f t="shared" si="48"/>
        <v>CRITICAL-33</v>
      </c>
      <c r="G148" s="100">
        <f t="shared" si="49"/>
        <v>2</v>
      </c>
      <c r="H148" s="133" t="e">
        <f t="shared" ca="1" si="53"/>
        <v>#VALUE!</v>
      </c>
      <c r="I148" s="133">
        <f t="shared" ca="1" si="50"/>
        <v>0</v>
      </c>
      <c r="J148" s="136" t="s">
        <v>385</v>
      </c>
      <c r="W148" s="1121" t="str">
        <f ca="1">AB148&amp;"-"&amp;COUNTIF($AB$2:$AB148,$AB148)</f>
        <v>0-3-0-37</v>
      </c>
      <c r="X148" s="1121" t="s">
        <v>445</v>
      </c>
      <c r="Y148" s="1123">
        <f t="shared" ca="1" si="51"/>
        <v>0</v>
      </c>
      <c r="Z148" s="1126">
        <v>3</v>
      </c>
      <c r="AA148" s="1123">
        <f t="shared" ca="1" si="52"/>
        <v>0</v>
      </c>
      <c r="AB148" s="1125" t="str">
        <f t="shared" ca="1" si="54"/>
        <v>0-3-0</v>
      </c>
    </row>
    <row r="149" spans="1:28" ht="15" customHeight="1" x14ac:dyDescent="0.2">
      <c r="A149" s="417" t="s">
        <v>82</v>
      </c>
      <c r="B149" s="417" t="s">
        <v>138</v>
      </c>
      <c r="C149" s="417" t="s">
        <v>379</v>
      </c>
      <c r="D149" s="1111" t="s">
        <v>5</v>
      </c>
      <c r="E149" s="417">
        <v>1</v>
      </c>
      <c r="F149" s="100" t="str">
        <f t="shared" si="48"/>
        <v>PROGRAM-11</v>
      </c>
      <c r="G149" s="100">
        <f t="shared" si="49"/>
        <v>1</v>
      </c>
      <c r="H149" s="133" t="e">
        <f t="shared" ca="1" si="53"/>
        <v>#VALUE!</v>
      </c>
      <c r="I149" s="133">
        <f t="shared" ca="1" si="50"/>
        <v>0</v>
      </c>
      <c r="J149" s="136" t="s">
        <v>386</v>
      </c>
      <c r="W149" s="1121" t="str">
        <f ca="1">AB149&amp;"-"&amp;COUNTIF($AB$2:$AB149,$AB149)</f>
        <v>0-1-0-28</v>
      </c>
      <c r="X149" s="1121" t="s">
        <v>379</v>
      </c>
      <c r="Y149" s="1123">
        <f t="shared" ca="1" si="51"/>
        <v>0</v>
      </c>
      <c r="Z149" s="1126">
        <v>1</v>
      </c>
      <c r="AA149" s="1123">
        <f t="shared" ca="1" si="52"/>
        <v>0</v>
      </c>
      <c r="AB149" s="1125" t="str">
        <f t="shared" ca="1" si="54"/>
        <v>0-1-0</v>
      </c>
    </row>
    <row r="150" spans="1:28" ht="15" customHeight="1" x14ac:dyDescent="0.2">
      <c r="A150" s="417" t="s">
        <v>82</v>
      </c>
      <c r="B150" s="417" t="s">
        <v>138</v>
      </c>
      <c r="C150" s="417" t="s">
        <v>380</v>
      </c>
      <c r="D150" s="1111" t="s">
        <v>7</v>
      </c>
      <c r="E150" s="417">
        <v>2</v>
      </c>
      <c r="F150" s="100" t="str">
        <f t="shared" si="48"/>
        <v>PROGRAM-12</v>
      </c>
      <c r="G150" s="100">
        <f t="shared" si="49"/>
        <v>6</v>
      </c>
      <c r="H150" s="133" t="e">
        <f t="shared" ca="1" si="53"/>
        <v>#VALUE!</v>
      </c>
      <c r="I150" s="133">
        <f t="shared" ca="1" si="50"/>
        <v>0</v>
      </c>
      <c r="J150" s="136" t="s">
        <v>387</v>
      </c>
      <c r="W150" s="1121" t="str">
        <f ca="1">AB150&amp;"-"&amp;COUNTIF($AB$2:$AB150,$AB150)</f>
        <v>0-2-0-58</v>
      </c>
      <c r="X150" s="1121" t="s">
        <v>380</v>
      </c>
      <c r="Y150" s="1123">
        <f t="shared" ca="1" si="51"/>
        <v>0</v>
      </c>
      <c r="Z150" s="1126">
        <v>2</v>
      </c>
      <c r="AA150" s="1123">
        <f t="shared" ca="1" si="52"/>
        <v>0</v>
      </c>
      <c r="AB150" s="1125" t="str">
        <f t="shared" ca="1" si="54"/>
        <v>0-2-0</v>
      </c>
    </row>
    <row r="151" spans="1:28" ht="15" customHeight="1" x14ac:dyDescent="0.2">
      <c r="A151" s="417" t="s">
        <v>82</v>
      </c>
      <c r="B151" s="417" t="s">
        <v>138</v>
      </c>
      <c r="C151" s="417" t="s">
        <v>381</v>
      </c>
      <c r="D151" s="1111" t="s">
        <v>8</v>
      </c>
      <c r="E151" s="417">
        <v>2</v>
      </c>
      <c r="F151" s="100" t="str">
        <f t="shared" si="48"/>
        <v>PROGRAM-12</v>
      </c>
      <c r="G151" s="100">
        <f t="shared" si="49"/>
        <v>6</v>
      </c>
      <c r="H151" s="133" t="e">
        <f t="shared" ca="1" si="53"/>
        <v>#VALUE!</v>
      </c>
      <c r="I151" s="133">
        <f t="shared" ca="1" si="50"/>
        <v>0</v>
      </c>
      <c r="J151" s="136" t="s">
        <v>388</v>
      </c>
      <c r="W151" s="1121" t="str">
        <f ca="1">AB151&amp;"-"&amp;COUNTIF($AB$2:$AB151,$AB151)</f>
        <v>0-2-0-59</v>
      </c>
      <c r="X151" s="1121" t="s">
        <v>381</v>
      </c>
      <c r="Y151" s="1123">
        <f t="shared" ca="1" si="51"/>
        <v>0</v>
      </c>
      <c r="Z151" s="1126">
        <v>2</v>
      </c>
      <c r="AA151" s="1123">
        <f t="shared" ca="1" si="52"/>
        <v>0</v>
      </c>
      <c r="AB151" s="1125" t="str">
        <f t="shared" ca="1" si="54"/>
        <v>0-2-0</v>
      </c>
    </row>
    <row r="152" spans="1:28" ht="15" customHeight="1" x14ac:dyDescent="0.2">
      <c r="A152" s="417" t="s">
        <v>82</v>
      </c>
      <c r="B152" s="417" t="s">
        <v>138</v>
      </c>
      <c r="C152" s="417" t="s">
        <v>382</v>
      </c>
      <c r="D152" s="1111" t="s">
        <v>9</v>
      </c>
      <c r="E152" s="417">
        <v>2</v>
      </c>
      <c r="F152" s="100" t="str">
        <f t="shared" si="48"/>
        <v>PROGRAM-12</v>
      </c>
      <c r="G152" s="100">
        <f t="shared" si="49"/>
        <v>6</v>
      </c>
      <c r="H152" s="133" t="e">
        <f t="shared" ca="1" si="53"/>
        <v>#VALUE!</v>
      </c>
      <c r="I152" s="133">
        <f t="shared" ca="1" si="50"/>
        <v>0</v>
      </c>
      <c r="J152" s="136" t="s">
        <v>389</v>
      </c>
      <c r="W152" s="1121" t="str">
        <f ca="1">AB152&amp;"-"&amp;COUNTIF($AB$2:$AB152,$AB152)</f>
        <v>0-2-0-60</v>
      </c>
      <c r="X152" s="1121" t="s">
        <v>382</v>
      </c>
      <c r="Y152" s="1123">
        <f t="shared" ca="1" si="51"/>
        <v>0</v>
      </c>
      <c r="Z152" s="1126">
        <v>2</v>
      </c>
      <c r="AA152" s="1123">
        <f t="shared" ca="1" si="52"/>
        <v>0</v>
      </c>
      <c r="AB152" s="1125" t="str">
        <f t="shared" ca="1" si="54"/>
        <v>0-2-0</v>
      </c>
    </row>
    <row r="153" spans="1:28" ht="15" customHeight="1" x14ac:dyDescent="0.2">
      <c r="A153" s="417" t="s">
        <v>82</v>
      </c>
      <c r="B153" s="417" t="s">
        <v>138</v>
      </c>
      <c r="C153" s="417" t="s">
        <v>383</v>
      </c>
      <c r="D153" s="1111" t="s">
        <v>10</v>
      </c>
      <c r="E153" s="417">
        <v>2</v>
      </c>
      <c r="F153" s="100" t="str">
        <f t="shared" si="48"/>
        <v>PROGRAM-12</v>
      </c>
      <c r="G153" s="100">
        <f t="shared" si="49"/>
        <v>6</v>
      </c>
      <c r="H153" s="133" t="e">
        <f t="shared" ca="1" si="53"/>
        <v>#VALUE!</v>
      </c>
      <c r="I153" s="133">
        <f t="shared" ca="1" si="50"/>
        <v>0</v>
      </c>
      <c r="J153" s="136" t="s">
        <v>390</v>
      </c>
      <c r="W153" s="1121" t="str">
        <f ca="1">AB153&amp;"-"&amp;COUNTIF($AB$2:$AB153,$AB153)</f>
        <v>0-2-0-61</v>
      </c>
      <c r="X153" s="1121" t="s">
        <v>383</v>
      </c>
      <c r="Y153" s="1123">
        <f t="shared" ca="1" si="51"/>
        <v>0</v>
      </c>
      <c r="Z153" s="1126">
        <v>2</v>
      </c>
      <c r="AA153" s="1123">
        <f t="shared" ca="1" si="52"/>
        <v>0</v>
      </c>
      <c r="AB153" s="1125" t="str">
        <f t="shared" ca="1" si="54"/>
        <v>0-2-0</v>
      </c>
    </row>
    <row r="154" spans="1:28" ht="15" customHeight="1" x14ac:dyDescent="0.2">
      <c r="A154" s="417" t="s">
        <v>82</v>
      </c>
      <c r="B154" s="417" t="s">
        <v>138</v>
      </c>
      <c r="C154" s="417" t="s">
        <v>384</v>
      </c>
      <c r="D154" s="1111" t="s">
        <v>11</v>
      </c>
      <c r="E154" s="417">
        <v>2</v>
      </c>
      <c r="F154" s="100" t="str">
        <f t="shared" si="48"/>
        <v>PROGRAM-12</v>
      </c>
      <c r="G154" s="100">
        <f t="shared" si="49"/>
        <v>6</v>
      </c>
      <c r="H154" s="133" t="e">
        <f t="shared" ca="1" si="53"/>
        <v>#VALUE!</v>
      </c>
      <c r="I154" s="133">
        <f t="shared" ca="1" si="50"/>
        <v>0</v>
      </c>
      <c r="J154" s="136" t="s">
        <v>391</v>
      </c>
      <c r="W154" s="1121" t="str">
        <f ca="1">AB154&amp;"-"&amp;COUNTIF($AB$2:$AB154,$AB154)</f>
        <v>0-2-0-62</v>
      </c>
      <c r="X154" s="1121" t="s">
        <v>384</v>
      </c>
      <c r="Y154" s="1123">
        <f t="shared" ca="1" si="51"/>
        <v>0</v>
      </c>
      <c r="Z154" s="1126">
        <v>2</v>
      </c>
      <c r="AA154" s="1123">
        <f t="shared" ca="1" si="52"/>
        <v>0</v>
      </c>
      <c r="AB154" s="1125" t="str">
        <f t="shared" ca="1" si="54"/>
        <v>0-2-0</v>
      </c>
    </row>
    <row r="155" spans="1:28" ht="15" customHeight="1" x14ac:dyDescent="0.2">
      <c r="A155" s="417" t="s">
        <v>82</v>
      </c>
      <c r="B155" s="417" t="s">
        <v>138</v>
      </c>
      <c r="C155" s="417" t="s">
        <v>385</v>
      </c>
      <c r="D155" s="1111" t="s">
        <v>12</v>
      </c>
      <c r="E155" s="417">
        <v>2</v>
      </c>
      <c r="F155" s="100" t="str">
        <f t="shared" si="48"/>
        <v>PROGRAM-12</v>
      </c>
      <c r="G155" s="100">
        <f t="shared" si="49"/>
        <v>6</v>
      </c>
      <c r="H155" s="133" t="e">
        <f t="shared" ca="1" si="53"/>
        <v>#VALUE!</v>
      </c>
      <c r="I155" s="133">
        <f t="shared" ca="1" si="50"/>
        <v>0</v>
      </c>
      <c r="J155" s="136" t="s">
        <v>392</v>
      </c>
      <c r="W155" s="1121" t="str">
        <f ca="1">AB155&amp;"-"&amp;COUNTIF($AB$2:$AB155,$AB155)</f>
        <v>0-2-0-63</v>
      </c>
      <c r="X155" s="1121" t="s">
        <v>385</v>
      </c>
      <c r="Y155" s="1123">
        <f t="shared" ca="1" si="51"/>
        <v>0</v>
      </c>
      <c r="Z155" s="1126">
        <v>2</v>
      </c>
      <c r="AA155" s="1123">
        <f t="shared" ca="1" si="52"/>
        <v>0</v>
      </c>
      <c r="AB155" s="1125" t="str">
        <f t="shared" ca="1" si="54"/>
        <v>0-2-0</v>
      </c>
    </row>
    <row r="156" spans="1:28" ht="15" customHeight="1" x14ac:dyDescent="0.2">
      <c r="A156" s="417" t="s">
        <v>82</v>
      </c>
      <c r="B156" s="417" t="s">
        <v>138</v>
      </c>
      <c r="C156" s="417" t="s">
        <v>386</v>
      </c>
      <c r="D156" s="1111" t="s">
        <v>13</v>
      </c>
      <c r="E156" s="417">
        <v>3</v>
      </c>
      <c r="F156" s="100" t="str">
        <f t="shared" si="48"/>
        <v>PROGRAM-13</v>
      </c>
      <c r="G156" s="100">
        <f t="shared" si="49"/>
        <v>1</v>
      </c>
      <c r="H156" s="133" t="e">
        <f t="shared" ca="1" si="53"/>
        <v>#VALUE!</v>
      </c>
      <c r="I156" s="133">
        <f t="shared" ca="1" si="50"/>
        <v>0</v>
      </c>
      <c r="J156" s="136" t="s">
        <v>393</v>
      </c>
      <c r="W156" s="1121" t="str">
        <f ca="1">AB156&amp;"-"&amp;COUNTIF($AB$2:$AB156,$AB156)</f>
        <v>0-3-0-38</v>
      </c>
      <c r="X156" s="1121" t="s">
        <v>386</v>
      </c>
      <c r="Y156" s="1123">
        <f t="shared" ca="1" si="51"/>
        <v>0</v>
      </c>
      <c r="Z156" s="1126">
        <v>3</v>
      </c>
      <c r="AA156" s="1123">
        <f t="shared" ca="1" si="52"/>
        <v>0</v>
      </c>
      <c r="AB156" s="1125" t="str">
        <f t="shared" ca="1" si="54"/>
        <v>0-3-0</v>
      </c>
    </row>
    <row r="157" spans="1:28" ht="15" customHeight="1" x14ac:dyDescent="0.2">
      <c r="A157" s="417" t="s">
        <v>82</v>
      </c>
      <c r="B157" s="417" t="s">
        <v>141</v>
      </c>
      <c r="C157" s="417" t="s">
        <v>387</v>
      </c>
      <c r="D157" s="1111" t="s">
        <v>17</v>
      </c>
      <c r="E157" s="417">
        <v>1</v>
      </c>
      <c r="F157" s="100" t="str">
        <f t="shared" si="48"/>
        <v>PROGRAM-21</v>
      </c>
      <c r="G157" s="100">
        <f t="shared" si="49"/>
        <v>2</v>
      </c>
      <c r="H157" s="133" t="e">
        <f t="shared" ca="1" si="53"/>
        <v>#VALUE!</v>
      </c>
      <c r="I157" s="133">
        <f t="shared" ca="1" si="50"/>
        <v>0</v>
      </c>
      <c r="J157" s="136" t="s">
        <v>394</v>
      </c>
      <c r="W157" s="1121" t="str">
        <f ca="1">AB157&amp;"-"&amp;COUNTIF($AB$2:$AB157,$AB157)</f>
        <v>0-1-0-29</v>
      </c>
      <c r="X157" s="1121" t="s">
        <v>387</v>
      </c>
      <c r="Y157" s="1123">
        <f t="shared" ca="1" si="51"/>
        <v>0</v>
      </c>
      <c r="Z157" s="1126">
        <v>1</v>
      </c>
      <c r="AA157" s="1123">
        <f t="shared" ca="1" si="52"/>
        <v>0</v>
      </c>
      <c r="AB157" s="1125" t="str">
        <f t="shared" ca="1" si="54"/>
        <v>0-1-0</v>
      </c>
    </row>
    <row r="158" spans="1:28" ht="15" customHeight="1" x14ac:dyDescent="0.2">
      <c r="A158" s="417" t="s">
        <v>82</v>
      </c>
      <c r="B158" s="417" t="s">
        <v>141</v>
      </c>
      <c r="C158" s="417" t="s">
        <v>388</v>
      </c>
      <c r="D158" s="1111" t="s">
        <v>18</v>
      </c>
      <c r="E158" s="417">
        <v>1</v>
      </c>
      <c r="F158" s="100" t="str">
        <f t="shared" si="48"/>
        <v>PROGRAM-21</v>
      </c>
      <c r="G158" s="100">
        <f t="shared" si="49"/>
        <v>2</v>
      </c>
      <c r="H158" s="133" t="e">
        <f t="shared" ca="1" si="53"/>
        <v>#VALUE!</v>
      </c>
      <c r="I158" s="133">
        <f t="shared" ca="1" si="50"/>
        <v>0</v>
      </c>
      <c r="J158" s="136" t="s">
        <v>395</v>
      </c>
      <c r="W158" s="1121" t="str">
        <f ca="1">AB158&amp;"-"&amp;COUNTIF($AB$2:$AB158,$AB158)</f>
        <v>0-1-0-30</v>
      </c>
      <c r="X158" s="1121" t="s">
        <v>388</v>
      </c>
      <c r="Y158" s="1123">
        <f t="shared" ca="1" si="51"/>
        <v>0</v>
      </c>
      <c r="Z158" s="1126">
        <v>1</v>
      </c>
      <c r="AA158" s="1123">
        <f t="shared" ca="1" si="52"/>
        <v>0</v>
      </c>
      <c r="AB158" s="1125" t="str">
        <f t="shared" ca="1" si="54"/>
        <v>0-1-0</v>
      </c>
    </row>
    <row r="159" spans="1:28" ht="15" customHeight="1" x14ac:dyDescent="0.2">
      <c r="A159" s="417" t="s">
        <v>82</v>
      </c>
      <c r="B159" s="417" t="s">
        <v>141</v>
      </c>
      <c r="C159" s="417" t="s">
        <v>389</v>
      </c>
      <c r="D159" s="1111" t="s">
        <v>19</v>
      </c>
      <c r="E159" s="417">
        <v>2</v>
      </c>
      <c r="F159" s="100" t="str">
        <f t="shared" si="48"/>
        <v>PROGRAM-22</v>
      </c>
      <c r="G159" s="100">
        <f t="shared" si="49"/>
        <v>6</v>
      </c>
      <c r="H159" s="133" t="e">
        <f t="shared" ca="1" si="53"/>
        <v>#VALUE!</v>
      </c>
      <c r="I159" s="133">
        <f t="shared" ca="1" si="50"/>
        <v>0</v>
      </c>
      <c r="J159" s="136" t="s">
        <v>396</v>
      </c>
      <c r="W159" s="1121" t="str">
        <f ca="1">AB159&amp;"-"&amp;COUNTIF($AB$2:$AB159,$AB159)</f>
        <v>0-2-0-64</v>
      </c>
      <c r="X159" s="1121" t="s">
        <v>389</v>
      </c>
      <c r="Y159" s="1123">
        <f t="shared" ca="1" si="51"/>
        <v>0</v>
      </c>
      <c r="Z159" s="1126">
        <v>2</v>
      </c>
      <c r="AA159" s="1123">
        <f t="shared" ca="1" si="52"/>
        <v>0</v>
      </c>
      <c r="AB159" s="1125" t="str">
        <f t="shared" ca="1" si="54"/>
        <v>0-2-0</v>
      </c>
    </row>
    <row r="160" spans="1:28" ht="15" customHeight="1" x14ac:dyDescent="0.2">
      <c r="A160" s="417" t="s">
        <v>82</v>
      </c>
      <c r="B160" s="417" t="s">
        <v>141</v>
      </c>
      <c r="C160" s="417" t="s">
        <v>390</v>
      </c>
      <c r="D160" s="1111" t="s">
        <v>20</v>
      </c>
      <c r="E160" s="417">
        <v>2</v>
      </c>
      <c r="F160" s="100" t="str">
        <f t="shared" si="48"/>
        <v>PROGRAM-22</v>
      </c>
      <c r="G160" s="100">
        <f t="shared" si="49"/>
        <v>6</v>
      </c>
      <c r="H160" s="133" t="e">
        <f t="shared" ca="1" si="53"/>
        <v>#VALUE!</v>
      </c>
      <c r="I160" s="133">
        <f t="shared" ca="1" si="50"/>
        <v>0</v>
      </c>
      <c r="J160" s="136" t="s">
        <v>397</v>
      </c>
      <c r="W160" s="1121" t="str">
        <f ca="1">AB160&amp;"-"&amp;COUNTIF($AB$2:$AB160,$AB160)</f>
        <v>0-2-0-65</v>
      </c>
      <c r="X160" s="1121" t="s">
        <v>390</v>
      </c>
      <c r="Y160" s="1123">
        <f t="shared" ca="1" si="51"/>
        <v>0</v>
      </c>
      <c r="Z160" s="1126">
        <v>2</v>
      </c>
      <c r="AA160" s="1123">
        <f t="shared" ca="1" si="52"/>
        <v>0</v>
      </c>
      <c r="AB160" s="1125" t="str">
        <f t="shared" ca="1" si="54"/>
        <v>0-2-0</v>
      </c>
    </row>
    <row r="161" spans="1:28" ht="15" customHeight="1" x14ac:dyDescent="0.2">
      <c r="A161" s="417" t="s">
        <v>82</v>
      </c>
      <c r="B161" s="417" t="s">
        <v>141</v>
      </c>
      <c r="C161" s="417" t="s">
        <v>391</v>
      </c>
      <c r="D161" s="1111" t="s">
        <v>21</v>
      </c>
      <c r="E161" s="417">
        <v>2</v>
      </c>
      <c r="F161" s="100" t="str">
        <f t="shared" si="48"/>
        <v>PROGRAM-22</v>
      </c>
      <c r="G161" s="100">
        <f t="shared" si="49"/>
        <v>6</v>
      </c>
      <c r="H161" s="133" t="e">
        <f t="shared" ca="1" si="53"/>
        <v>#VALUE!</v>
      </c>
      <c r="I161" s="133">
        <f t="shared" ca="1" si="50"/>
        <v>0</v>
      </c>
      <c r="J161" s="136" t="s">
        <v>398</v>
      </c>
      <c r="W161" s="1121" t="str">
        <f ca="1">AB161&amp;"-"&amp;COUNTIF($AB$2:$AB161,$AB161)</f>
        <v>0-2-0-66</v>
      </c>
      <c r="X161" s="1121" t="s">
        <v>391</v>
      </c>
      <c r="Y161" s="1123">
        <f t="shared" ca="1" si="51"/>
        <v>0</v>
      </c>
      <c r="Z161" s="1126">
        <v>2</v>
      </c>
      <c r="AA161" s="1123">
        <f t="shared" ca="1" si="52"/>
        <v>0</v>
      </c>
      <c r="AB161" s="1125" t="str">
        <f t="shared" ca="1" si="54"/>
        <v>0-2-0</v>
      </c>
    </row>
    <row r="162" spans="1:28" ht="15" customHeight="1" x14ac:dyDescent="0.2">
      <c r="A162" s="417" t="s">
        <v>82</v>
      </c>
      <c r="B162" s="417" t="s">
        <v>141</v>
      </c>
      <c r="C162" s="417" t="s">
        <v>392</v>
      </c>
      <c r="D162" s="1111" t="s">
        <v>109</v>
      </c>
      <c r="E162" s="417">
        <v>2</v>
      </c>
      <c r="F162" s="100" t="str">
        <f t="shared" si="48"/>
        <v>PROGRAM-22</v>
      </c>
      <c r="G162" s="100">
        <f t="shared" si="49"/>
        <v>6</v>
      </c>
      <c r="H162" s="133" t="e">
        <f t="shared" ca="1" si="53"/>
        <v>#VALUE!</v>
      </c>
      <c r="I162" s="133">
        <f t="shared" ca="1" si="50"/>
        <v>0</v>
      </c>
      <c r="J162" s="136" t="s">
        <v>399</v>
      </c>
      <c r="W162" s="1121" t="str">
        <f ca="1">AB162&amp;"-"&amp;COUNTIF($AB$2:$AB162,$AB162)</f>
        <v>0-2-0-67</v>
      </c>
      <c r="X162" s="1121" t="s">
        <v>392</v>
      </c>
      <c r="Y162" s="1123">
        <f t="shared" ref="Y162:Y180" ca="1" si="55">VLOOKUP(LEFT($X162,LEN($X162)-1),$K:$O,5,FALSE)</f>
        <v>0</v>
      </c>
      <c r="Z162" s="1126">
        <v>2</v>
      </c>
      <c r="AA162" s="1123">
        <f t="shared" ca="1" si="52"/>
        <v>0</v>
      </c>
      <c r="AB162" s="1125" t="str">
        <f t="shared" ca="1" si="54"/>
        <v>0-2-0</v>
      </c>
    </row>
    <row r="163" spans="1:28" ht="15" customHeight="1" x14ac:dyDescent="0.2">
      <c r="A163" s="417" t="s">
        <v>82</v>
      </c>
      <c r="B163" s="417" t="s">
        <v>141</v>
      </c>
      <c r="C163" s="417" t="s">
        <v>393</v>
      </c>
      <c r="D163" s="1111" t="s">
        <v>173</v>
      </c>
      <c r="E163" s="417">
        <v>2</v>
      </c>
      <c r="F163" s="100" t="str">
        <f t="shared" si="48"/>
        <v>PROGRAM-22</v>
      </c>
      <c r="G163" s="100">
        <f t="shared" si="49"/>
        <v>6</v>
      </c>
      <c r="H163" s="133" t="e">
        <f t="shared" ca="1" si="53"/>
        <v>#VALUE!</v>
      </c>
      <c r="I163" s="133">
        <f t="shared" ca="1" si="50"/>
        <v>0</v>
      </c>
      <c r="J163" s="136" t="s">
        <v>400</v>
      </c>
      <c r="W163" s="1121" t="str">
        <f ca="1">AB163&amp;"-"&amp;COUNTIF($AB$2:$AB163,$AB163)</f>
        <v>0-2-0-68</v>
      </c>
      <c r="X163" s="1121" t="s">
        <v>393</v>
      </c>
      <c r="Y163" s="1123">
        <f t="shared" ca="1" si="55"/>
        <v>0</v>
      </c>
      <c r="Z163" s="1126">
        <v>2</v>
      </c>
      <c r="AA163" s="1123">
        <f t="shared" ca="1" si="52"/>
        <v>0</v>
      </c>
      <c r="AB163" s="1125" t="str">
        <f t="shared" ca="1" si="54"/>
        <v>0-2-0</v>
      </c>
    </row>
    <row r="164" spans="1:28" ht="15" customHeight="1" x14ac:dyDescent="0.2">
      <c r="A164" s="417" t="s">
        <v>82</v>
      </c>
      <c r="B164" s="417" t="s">
        <v>141</v>
      </c>
      <c r="C164" s="417" t="s">
        <v>394</v>
      </c>
      <c r="D164" s="1111" t="s">
        <v>175</v>
      </c>
      <c r="E164" s="417">
        <v>2</v>
      </c>
      <c r="F164" s="100" t="str">
        <f t="shared" si="48"/>
        <v>PROGRAM-22</v>
      </c>
      <c r="G164" s="100">
        <f t="shared" si="49"/>
        <v>6</v>
      </c>
      <c r="H164" s="133" t="e">
        <f t="shared" ca="1" si="53"/>
        <v>#VALUE!</v>
      </c>
      <c r="I164" s="133">
        <f t="shared" ca="1" si="50"/>
        <v>0</v>
      </c>
      <c r="J164" s="136" t="s">
        <v>401</v>
      </c>
      <c r="W164" s="1121" t="str">
        <f ca="1">AB164&amp;"-"&amp;COUNTIF($AB$2:$AB164,$AB164)</f>
        <v>0-2-0-69</v>
      </c>
      <c r="X164" s="1121" t="s">
        <v>394</v>
      </c>
      <c r="Y164" s="1123">
        <f t="shared" ca="1" si="55"/>
        <v>0</v>
      </c>
      <c r="Z164" s="1126">
        <v>2</v>
      </c>
      <c r="AA164" s="1123">
        <f t="shared" ca="1" si="52"/>
        <v>0</v>
      </c>
      <c r="AB164" s="1125" t="str">
        <f t="shared" ca="1" si="54"/>
        <v>0-2-0</v>
      </c>
    </row>
    <row r="165" spans="1:28" ht="15" customHeight="1" x14ac:dyDescent="0.2">
      <c r="A165" s="417" t="s">
        <v>82</v>
      </c>
      <c r="B165" s="417" t="s">
        <v>141</v>
      </c>
      <c r="C165" s="417" t="s">
        <v>395</v>
      </c>
      <c r="D165" s="1111" t="s">
        <v>206</v>
      </c>
      <c r="E165" s="417">
        <v>3</v>
      </c>
      <c r="F165" s="100" t="str">
        <f t="shared" si="48"/>
        <v>PROGRAM-23</v>
      </c>
      <c r="G165" s="100">
        <f t="shared" si="49"/>
        <v>4</v>
      </c>
      <c r="H165" s="133" t="e">
        <f t="shared" ca="1" si="53"/>
        <v>#VALUE!</v>
      </c>
      <c r="I165" s="133">
        <f t="shared" ca="1" si="50"/>
        <v>0</v>
      </c>
      <c r="J165" s="136" t="s">
        <v>402</v>
      </c>
      <c r="W165" s="1121" t="str">
        <f ca="1">AB165&amp;"-"&amp;COUNTIF($AB$2:$AB165,$AB165)</f>
        <v>0-3-0-39</v>
      </c>
      <c r="X165" s="1121" t="s">
        <v>395</v>
      </c>
      <c r="Y165" s="1123">
        <f t="shared" ca="1" si="55"/>
        <v>0</v>
      </c>
      <c r="Z165" s="1126">
        <v>3</v>
      </c>
      <c r="AA165" s="1123">
        <f t="shared" ca="1" si="52"/>
        <v>0</v>
      </c>
      <c r="AB165" s="1125" t="str">
        <f t="shared" ca="1" si="54"/>
        <v>0-3-0</v>
      </c>
    </row>
    <row r="166" spans="1:28" ht="15" customHeight="1" x14ac:dyDescent="0.2">
      <c r="A166" s="417" t="s">
        <v>82</v>
      </c>
      <c r="B166" s="417" t="s">
        <v>141</v>
      </c>
      <c r="C166" s="417" t="s">
        <v>396</v>
      </c>
      <c r="D166" s="1111" t="s">
        <v>208</v>
      </c>
      <c r="E166" s="417">
        <v>3</v>
      </c>
      <c r="F166" s="100" t="str">
        <f t="shared" si="48"/>
        <v>PROGRAM-23</v>
      </c>
      <c r="G166" s="100">
        <f t="shared" si="49"/>
        <v>4</v>
      </c>
      <c r="H166" s="133" t="e">
        <f t="shared" ca="1" si="53"/>
        <v>#VALUE!</v>
      </c>
      <c r="I166" s="133">
        <f t="shared" ca="1" si="50"/>
        <v>0</v>
      </c>
      <c r="J166" s="136" t="s">
        <v>403</v>
      </c>
      <c r="W166" s="1121" t="str">
        <f ca="1">AB166&amp;"-"&amp;COUNTIF($AB$2:$AB166,$AB166)</f>
        <v>0-3-0-40</v>
      </c>
      <c r="X166" s="1121" t="s">
        <v>396</v>
      </c>
      <c r="Y166" s="1123">
        <f t="shared" ca="1" si="55"/>
        <v>0</v>
      </c>
      <c r="Z166" s="1126">
        <v>3</v>
      </c>
      <c r="AA166" s="1123">
        <f t="shared" ca="1" si="52"/>
        <v>0</v>
      </c>
      <c r="AB166" s="1125" t="str">
        <f t="shared" ca="1" si="54"/>
        <v>0-3-0</v>
      </c>
    </row>
    <row r="167" spans="1:28" ht="15" customHeight="1" x14ac:dyDescent="0.2">
      <c r="A167" s="417" t="s">
        <v>82</v>
      </c>
      <c r="B167" s="417" t="s">
        <v>141</v>
      </c>
      <c r="C167" s="417" t="s">
        <v>397</v>
      </c>
      <c r="D167" s="1111" t="s">
        <v>210</v>
      </c>
      <c r="E167" s="417">
        <v>3</v>
      </c>
      <c r="F167" s="100" t="str">
        <f t="shared" si="48"/>
        <v>PROGRAM-23</v>
      </c>
      <c r="G167" s="100">
        <f t="shared" si="49"/>
        <v>4</v>
      </c>
      <c r="H167" s="133" t="e">
        <f t="shared" ca="1" si="53"/>
        <v>#VALUE!</v>
      </c>
      <c r="I167" s="133">
        <f t="shared" ca="1" si="50"/>
        <v>0</v>
      </c>
      <c r="J167" s="136" t="s">
        <v>404</v>
      </c>
      <c r="W167" s="1121" t="str">
        <f ca="1">AB167&amp;"-"&amp;COUNTIF($AB$2:$AB167,$AB167)</f>
        <v>0-3-0-41</v>
      </c>
      <c r="X167" s="1121" t="s">
        <v>397</v>
      </c>
      <c r="Y167" s="1123">
        <f t="shared" ca="1" si="55"/>
        <v>0</v>
      </c>
      <c r="Z167" s="1126">
        <v>3</v>
      </c>
      <c r="AA167" s="1123">
        <f t="shared" ca="1" si="52"/>
        <v>0</v>
      </c>
      <c r="AB167" s="1125" t="str">
        <f t="shared" ca="1" si="54"/>
        <v>0-3-0</v>
      </c>
    </row>
    <row r="168" spans="1:28" ht="15" customHeight="1" x14ac:dyDescent="0.2">
      <c r="A168" s="417" t="s">
        <v>82</v>
      </c>
      <c r="B168" s="417" t="s">
        <v>141</v>
      </c>
      <c r="C168" s="417" t="s">
        <v>398</v>
      </c>
      <c r="D168" s="1111" t="s">
        <v>212</v>
      </c>
      <c r="E168" s="417">
        <v>3</v>
      </c>
      <c r="F168" s="100" t="str">
        <f t="shared" si="48"/>
        <v>PROGRAM-23</v>
      </c>
      <c r="G168" s="100">
        <f t="shared" si="49"/>
        <v>4</v>
      </c>
      <c r="H168" s="133" t="e">
        <f t="shared" ca="1" si="53"/>
        <v>#VALUE!</v>
      </c>
      <c r="I168" s="133">
        <f t="shared" ca="1" si="50"/>
        <v>0</v>
      </c>
      <c r="J168" s="136" t="s">
        <v>405</v>
      </c>
      <c r="W168" s="1121" t="str">
        <f ca="1">AB168&amp;"-"&amp;COUNTIF($AB$2:$AB168,$AB168)</f>
        <v>0-3-0-42</v>
      </c>
      <c r="X168" s="1121" t="s">
        <v>398</v>
      </c>
      <c r="Y168" s="1123">
        <f t="shared" ca="1" si="55"/>
        <v>0</v>
      </c>
      <c r="Z168" s="1126">
        <v>3</v>
      </c>
      <c r="AA168" s="1123">
        <f t="shared" ca="1" si="52"/>
        <v>0</v>
      </c>
      <c r="AB168" s="1125" t="str">
        <f t="shared" ca="1" si="54"/>
        <v>0-3-0</v>
      </c>
    </row>
    <row r="169" spans="1:28" ht="15" customHeight="1" x14ac:dyDescent="0.2">
      <c r="A169" s="417" t="s">
        <v>82</v>
      </c>
      <c r="B169" s="417" t="s">
        <v>144</v>
      </c>
      <c r="C169" s="417" t="s">
        <v>399</v>
      </c>
      <c r="D169" s="1111" t="s">
        <v>22</v>
      </c>
      <c r="E169" s="417">
        <v>2</v>
      </c>
      <c r="F169" s="100" t="str">
        <f t="shared" si="48"/>
        <v>PROGRAM-32</v>
      </c>
      <c r="G169" s="100">
        <f t="shared" si="49"/>
        <v>2</v>
      </c>
      <c r="H169" s="133" t="e">
        <f t="shared" ca="1" si="53"/>
        <v>#VALUE!</v>
      </c>
      <c r="I169" s="133">
        <f t="shared" ca="1" si="50"/>
        <v>0</v>
      </c>
      <c r="J169" s="136" t="s">
        <v>406</v>
      </c>
      <c r="W169" s="1121" t="str">
        <f ca="1">AB169&amp;"-"&amp;COUNTIF($AB$2:$AB169,$AB169)</f>
        <v>1-2-0-10</v>
      </c>
      <c r="X169" s="1121" t="s">
        <v>399</v>
      </c>
      <c r="Y169" s="1123">
        <f t="shared" ca="1" si="55"/>
        <v>1</v>
      </c>
      <c r="Z169" s="1126">
        <v>2</v>
      </c>
      <c r="AA169" s="1123">
        <f t="shared" ca="1" si="52"/>
        <v>0</v>
      </c>
      <c r="AB169" s="1125" t="str">
        <f t="shared" ca="1" si="54"/>
        <v>1-2-0</v>
      </c>
    </row>
    <row r="170" spans="1:28" ht="15" customHeight="1" x14ac:dyDescent="0.2">
      <c r="A170" s="417" t="s">
        <v>82</v>
      </c>
      <c r="B170" s="417" t="s">
        <v>144</v>
      </c>
      <c r="C170" s="417" t="s">
        <v>400</v>
      </c>
      <c r="D170" s="1111" t="s">
        <v>23</v>
      </c>
      <c r="E170" s="417">
        <v>2</v>
      </c>
      <c r="F170" s="100" t="str">
        <f t="shared" si="48"/>
        <v>PROGRAM-32</v>
      </c>
      <c r="G170" s="100">
        <f t="shared" si="49"/>
        <v>2</v>
      </c>
      <c r="H170" s="133" t="e">
        <f t="shared" ca="1" si="53"/>
        <v>#VALUE!</v>
      </c>
      <c r="I170" s="133">
        <f t="shared" ca="1" si="50"/>
        <v>0</v>
      </c>
      <c r="J170" s="136" t="s">
        <v>407</v>
      </c>
      <c r="W170" s="1121" t="str">
        <f ca="1">AB170&amp;"-"&amp;COUNTIF($AB$2:$AB170,$AB170)</f>
        <v>1-2-0-11</v>
      </c>
      <c r="X170" s="1121" t="s">
        <v>400</v>
      </c>
      <c r="Y170" s="1123">
        <f t="shared" ca="1" si="55"/>
        <v>1</v>
      </c>
      <c r="Z170" s="1126">
        <v>2</v>
      </c>
      <c r="AA170" s="1123">
        <f t="shared" ca="1" si="52"/>
        <v>0</v>
      </c>
      <c r="AB170" s="1125" t="str">
        <f t="shared" ca="1" si="54"/>
        <v>1-2-0</v>
      </c>
    </row>
    <row r="171" spans="1:28" ht="15" customHeight="1" x14ac:dyDescent="0.2">
      <c r="A171" s="417" t="s">
        <v>82</v>
      </c>
      <c r="B171" s="417" t="s">
        <v>144</v>
      </c>
      <c r="C171" s="417" t="s">
        <v>401</v>
      </c>
      <c r="D171" s="1111" t="s">
        <v>24</v>
      </c>
      <c r="E171" s="417">
        <v>3</v>
      </c>
      <c r="F171" s="100" t="str">
        <f t="shared" si="48"/>
        <v>PROGRAM-33</v>
      </c>
      <c r="G171" s="100">
        <f t="shared" si="49"/>
        <v>4</v>
      </c>
      <c r="H171" s="133" t="e">
        <f t="shared" ca="1" si="53"/>
        <v>#VALUE!</v>
      </c>
      <c r="I171" s="133">
        <f t="shared" ca="1" si="50"/>
        <v>0</v>
      </c>
      <c r="J171" s="136" t="s">
        <v>408</v>
      </c>
      <c r="W171" s="1121" t="str">
        <f ca="1">AB171&amp;"-"&amp;COUNTIF($AB$2:$AB171,$AB171)</f>
        <v>1-3-0-18</v>
      </c>
      <c r="X171" s="1121" t="s">
        <v>401</v>
      </c>
      <c r="Y171" s="1123">
        <f t="shared" ca="1" si="55"/>
        <v>1</v>
      </c>
      <c r="Z171" s="1126">
        <v>3</v>
      </c>
      <c r="AA171" s="1123">
        <f t="shared" ca="1" si="52"/>
        <v>0</v>
      </c>
      <c r="AB171" s="1125" t="str">
        <f t="shared" ca="1" si="54"/>
        <v>1-3-0</v>
      </c>
    </row>
    <row r="172" spans="1:28" ht="15" customHeight="1" x14ac:dyDescent="0.2">
      <c r="A172" s="417" t="s">
        <v>82</v>
      </c>
      <c r="B172" s="417" t="s">
        <v>144</v>
      </c>
      <c r="C172" s="417" t="s">
        <v>402</v>
      </c>
      <c r="D172" s="1111" t="s">
        <v>25</v>
      </c>
      <c r="E172" s="417">
        <v>3</v>
      </c>
      <c r="F172" s="100" t="str">
        <f t="shared" si="48"/>
        <v>PROGRAM-33</v>
      </c>
      <c r="G172" s="100">
        <f t="shared" si="49"/>
        <v>4</v>
      </c>
      <c r="H172" s="133" t="e">
        <f t="shared" ca="1" si="53"/>
        <v>#VALUE!</v>
      </c>
      <c r="I172" s="133">
        <f t="shared" ca="1" si="50"/>
        <v>0</v>
      </c>
      <c r="J172" s="136" t="s">
        <v>409</v>
      </c>
      <c r="W172" s="1121" t="str">
        <f ca="1">AB172&amp;"-"&amp;COUNTIF($AB$2:$AB172,$AB172)</f>
        <v>1-3-0-19</v>
      </c>
      <c r="X172" s="1121" t="s">
        <v>402</v>
      </c>
      <c r="Y172" s="1123">
        <f t="shared" ca="1" si="55"/>
        <v>1</v>
      </c>
      <c r="Z172" s="1126">
        <v>3</v>
      </c>
      <c r="AA172" s="1123">
        <f t="shared" ca="1" si="52"/>
        <v>0</v>
      </c>
      <c r="AB172" s="1125" t="str">
        <f t="shared" ca="1" si="54"/>
        <v>1-3-0</v>
      </c>
    </row>
    <row r="173" spans="1:28" ht="15" customHeight="1" x14ac:dyDescent="0.2">
      <c r="A173" s="417" t="s">
        <v>82</v>
      </c>
      <c r="B173" s="417" t="s">
        <v>144</v>
      </c>
      <c r="C173" s="417" t="s">
        <v>403</v>
      </c>
      <c r="D173" s="1111" t="s">
        <v>26</v>
      </c>
      <c r="E173" s="417">
        <v>3</v>
      </c>
      <c r="F173" s="100" t="str">
        <f t="shared" si="48"/>
        <v>PROGRAM-33</v>
      </c>
      <c r="G173" s="100">
        <f t="shared" si="49"/>
        <v>4</v>
      </c>
      <c r="H173" s="133" t="e">
        <f t="shared" ca="1" si="53"/>
        <v>#VALUE!</v>
      </c>
      <c r="I173" s="133">
        <f t="shared" ca="1" si="50"/>
        <v>0</v>
      </c>
      <c r="J173" s="136" t="s">
        <v>411</v>
      </c>
      <c r="W173" s="1121" t="str">
        <f ca="1">AB173&amp;"-"&amp;COUNTIF($AB$2:$AB173,$AB173)</f>
        <v>1-3-0-20</v>
      </c>
      <c r="X173" s="1121" t="s">
        <v>403</v>
      </c>
      <c r="Y173" s="1123">
        <f t="shared" ca="1" si="55"/>
        <v>1</v>
      </c>
      <c r="Z173" s="1126">
        <v>3</v>
      </c>
      <c r="AA173" s="1123">
        <f t="shared" ca="1" si="52"/>
        <v>0</v>
      </c>
      <c r="AB173" s="1125" t="str">
        <f t="shared" ca="1" si="54"/>
        <v>1-3-0</v>
      </c>
    </row>
    <row r="174" spans="1:28" ht="15" customHeight="1" x14ac:dyDescent="0.2">
      <c r="A174" s="417" t="s">
        <v>82</v>
      </c>
      <c r="B174" s="417" t="s">
        <v>144</v>
      </c>
      <c r="C174" s="417" t="s">
        <v>404</v>
      </c>
      <c r="D174" s="1111" t="s">
        <v>27</v>
      </c>
      <c r="E174" s="417">
        <v>3</v>
      </c>
      <c r="F174" s="100" t="str">
        <f t="shared" si="48"/>
        <v>PROGRAM-33</v>
      </c>
      <c r="G174" s="100">
        <f t="shared" si="49"/>
        <v>4</v>
      </c>
      <c r="H174" s="133" t="e">
        <f t="shared" ca="1" si="53"/>
        <v>#VALUE!</v>
      </c>
      <c r="I174" s="133">
        <f t="shared" ca="1" si="50"/>
        <v>0</v>
      </c>
      <c r="J174" s="136" t="s">
        <v>412</v>
      </c>
      <c r="W174" s="1121" t="str">
        <f ca="1">AB174&amp;"-"&amp;COUNTIF($AB$2:$AB174,$AB174)</f>
        <v>1-3-0-21</v>
      </c>
      <c r="X174" s="1121" t="s">
        <v>404</v>
      </c>
      <c r="Y174" s="1123">
        <f t="shared" ca="1" si="55"/>
        <v>1</v>
      </c>
      <c r="Z174" s="1126">
        <v>3</v>
      </c>
      <c r="AA174" s="1123">
        <f t="shared" ca="1" si="52"/>
        <v>0</v>
      </c>
      <c r="AB174" s="1125" t="str">
        <f t="shared" ca="1" si="54"/>
        <v>1-3-0</v>
      </c>
    </row>
    <row r="175" spans="1:28" ht="15" customHeight="1" x14ac:dyDescent="0.2">
      <c r="A175" s="130" t="s">
        <v>71</v>
      </c>
      <c r="B175" s="130" t="s">
        <v>93</v>
      </c>
      <c r="C175" s="130" t="s">
        <v>253</v>
      </c>
      <c r="D175" s="1112" t="s">
        <v>5</v>
      </c>
      <c r="E175" s="130">
        <v>1</v>
      </c>
      <c r="F175" s="100" t="str">
        <f t="shared" si="48"/>
        <v>RESPONSE-11</v>
      </c>
      <c r="G175" s="100">
        <f t="shared" si="49"/>
        <v>1</v>
      </c>
      <c r="H175" s="133" t="e">
        <f t="shared" ca="1" si="53"/>
        <v>#VALUE!</v>
      </c>
      <c r="I175" s="133">
        <f t="shared" ca="1" si="50"/>
        <v>0</v>
      </c>
      <c r="J175" s="136" t="s">
        <v>413</v>
      </c>
      <c r="W175" s="1121" t="str">
        <f ca="1">AB175&amp;"-"&amp;COUNTIF($AB$2:$AB175,$AB175)</f>
        <v>0-1-0-31</v>
      </c>
      <c r="X175" s="1121" t="s">
        <v>253</v>
      </c>
      <c r="Y175" s="1123">
        <f t="shared" ca="1" si="55"/>
        <v>0</v>
      </c>
      <c r="Z175" s="1126">
        <v>1</v>
      </c>
      <c r="AA175" s="1123">
        <f t="shared" ca="1" si="52"/>
        <v>0</v>
      </c>
      <c r="AB175" s="1125" t="str">
        <f t="shared" ca="1" si="54"/>
        <v>0-1-0</v>
      </c>
    </row>
    <row r="176" spans="1:28" ht="15" customHeight="1" x14ac:dyDescent="0.2">
      <c r="A176" s="130" t="s">
        <v>71</v>
      </c>
      <c r="B176" s="130" t="s">
        <v>93</v>
      </c>
      <c r="C176" s="130" t="s">
        <v>254</v>
      </c>
      <c r="D176" s="1112" t="s">
        <v>7</v>
      </c>
      <c r="E176" s="130">
        <v>2</v>
      </c>
      <c r="F176" s="100" t="str">
        <f t="shared" si="48"/>
        <v>RESPONSE-12</v>
      </c>
      <c r="G176" s="100">
        <f t="shared" si="49"/>
        <v>2</v>
      </c>
      <c r="H176" s="133" t="e">
        <f t="shared" ca="1" si="53"/>
        <v>#VALUE!</v>
      </c>
      <c r="I176" s="133">
        <f t="shared" ca="1" si="50"/>
        <v>0</v>
      </c>
      <c r="J176" s="136" t="s">
        <v>414</v>
      </c>
      <c r="W176" s="1121" t="str">
        <f ca="1">AB176&amp;"-"&amp;COUNTIF($AB$2:$AB176,$AB176)</f>
        <v>0-2-0-70</v>
      </c>
      <c r="X176" s="1121" t="s">
        <v>254</v>
      </c>
      <c r="Y176" s="1123">
        <f t="shared" ca="1" si="55"/>
        <v>0</v>
      </c>
      <c r="Z176" s="1126">
        <v>2</v>
      </c>
      <c r="AA176" s="1123">
        <f t="shared" ca="1" si="52"/>
        <v>0</v>
      </c>
      <c r="AB176" s="1125" t="str">
        <f t="shared" ca="1" si="54"/>
        <v>0-2-0</v>
      </c>
    </row>
    <row r="177" spans="1:28" ht="15" customHeight="1" x14ac:dyDescent="0.2">
      <c r="A177" s="130" t="s">
        <v>71</v>
      </c>
      <c r="B177" s="130" t="s">
        <v>93</v>
      </c>
      <c r="C177" s="130" t="s">
        <v>255</v>
      </c>
      <c r="D177" s="1112" t="s">
        <v>8</v>
      </c>
      <c r="E177" s="130">
        <v>2</v>
      </c>
      <c r="F177" s="100" t="str">
        <f t="shared" si="48"/>
        <v>RESPONSE-12</v>
      </c>
      <c r="G177" s="100">
        <f t="shared" si="49"/>
        <v>2</v>
      </c>
      <c r="H177" s="133" t="e">
        <f t="shared" ca="1" si="53"/>
        <v>#VALUE!</v>
      </c>
      <c r="I177" s="133">
        <f t="shared" ca="1" si="50"/>
        <v>0</v>
      </c>
      <c r="J177" s="136" t="s">
        <v>415</v>
      </c>
      <c r="W177" s="1121" t="str">
        <f ca="1">AB177&amp;"-"&amp;COUNTIF($AB$2:$AB177,$AB177)</f>
        <v>0-2-0-71</v>
      </c>
      <c r="X177" s="1121" t="s">
        <v>255</v>
      </c>
      <c r="Y177" s="1123">
        <f t="shared" ca="1" si="55"/>
        <v>0</v>
      </c>
      <c r="Z177" s="1126">
        <v>2</v>
      </c>
      <c r="AA177" s="1123">
        <f t="shared" ca="1" si="52"/>
        <v>0</v>
      </c>
      <c r="AB177" s="1125" t="str">
        <f t="shared" ca="1" si="54"/>
        <v>0-2-0</v>
      </c>
    </row>
    <row r="178" spans="1:28" ht="15" customHeight="1" x14ac:dyDescent="0.2">
      <c r="A178" s="130" t="s">
        <v>71</v>
      </c>
      <c r="B178" s="130" t="s">
        <v>93</v>
      </c>
      <c r="C178" s="130" t="s">
        <v>256</v>
      </c>
      <c r="D178" s="1112" t="s">
        <v>9</v>
      </c>
      <c r="E178" s="130">
        <v>3</v>
      </c>
      <c r="F178" s="100" t="str">
        <f t="shared" si="48"/>
        <v>RESPONSE-13</v>
      </c>
      <c r="G178" s="100">
        <f t="shared" si="49"/>
        <v>3</v>
      </c>
      <c r="H178" s="133" t="e">
        <f t="shared" ca="1" si="53"/>
        <v>#VALUE!</v>
      </c>
      <c r="I178" s="133">
        <f t="shared" ca="1" si="50"/>
        <v>0</v>
      </c>
      <c r="J178" s="136" t="s">
        <v>416</v>
      </c>
      <c r="W178" s="1121" t="str">
        <f ca="1">AB178&amp;"-"&amp;COUNTIF($AB$2:$AB178,$AB178)</f>
        <v>0-3-0-43</v>
      </c>
      <c r="X178" s="1121" t="s">
        <v>256</v>
      </c>
      <c r="Y178" s="1123">
        <f t="shared" ca="1" si="55"/>
        <v>0</v>
      </c>
      <c r="Z178" s="1126">
        <v>3</v>
      </c>
      <c r="AA178" s="1123">
        <f t="shared" ca="1" si="52"/>
        <v>0</v>
      </c>
      <c r="AB178" s="1125" t="str">
        <f t="shared" ca="1" si="54"/>
        <v>0-3-0</v>
      </c>
    </row>
    <row r="179" spans="1:28" ht="15" customHeight="1" x14ac:dyDescent="0.2">
      <c r="A179" s="130" t="s">
        <v>71</v>
      </c>
      <c r="B179" s="130" t="s">
        <v>93</v>
      </c>
      <c r="C179" s="130" t="s">
        <v>257</v>
      </c>
      <c r="D179" s="1112" t="s">
        <v>10</v>
      </c>
      <c r="E179" s="130">
        <v>3</v>
      </c>
      <c r="F179" s="100" t="str">
        <f t="shared" si="48"/>
        <v>RESPONSE-13</v>
      </c>
      <c r="G179" s="100">
        <f t="shared" si="49"/>
        <v>3</v>
      </c>
      <c r="H179" s="133" t="e">
        <f t="shared" ca="1" si="53"/>
        <v>#VALUE!</v>
      </c>
      <c r="I179" s="133">
        <f t="shared" ca="1" si="50"/>
        <v>0</v>
      </c>
      <c r="J179" s="136" t="s">
        <v>417</v>
      </c>
      <c r="W179" s="1121" t="str">
        <f ca="1">AB179&amp;"-"&amp;COUNTIF($AB$2:$AB179,$AB179)</f>
        <v>0-3-0-44</v>
      </c>
      <c r="X179" s="1121" t="s">
        <v>257</v>
      </c>
      <c r="Y179" s="1123">
        <f t="shared" ca="1" si="55"/>
        <v>0</v>
      </c>
      <c r="Z179" s="1126">
        <v>3</v>
      </c>
      <c r="AA179" s="1123">
        <f t="shared" ca="1" si="52"/>
        <v>0</v>
      </c>
      <c r="AB179" s="1125" t="str">
        <f t="shared" ca="1" si="54"/>
        <v>0-3-0</v>
      </c>
    </row>
    <row r="180" spans="1:28" ht="15" customHeight="1" x14ac:dyDescent="0.2">
      <c r="A180" s="130" t="s">
        <v>71</v>
      </c>
      <c r="B180" s="130" t="s">
        <v>93</v>
      </c>
      <c r="C180" s="130" t="s">
        <v>258</v>
      </c>
      <c r="D180" s="1112" t="s">
        <v>11</v>
      </c>
      <c r="E180" s="130">
        <v>3</v>
      </c>
      <c r="F180" s="100" t="str">
        <f t="shared" si="48"/>
        <v>RESPONSE-13</v>
      </c>
      <c r="G180" s="100">
        <f t="shared" si="49"/>
        <v>3</v>
      </c>
      <c r="H180" s="133" t="e">
        <f t="shared" ca="1" si="53"/>
        <v>#VALUE!</v>
      </c>
      <c r="I180" s="133">
        <f t="shared" ca="1" si="50"/>
        <v>0</v>
      </c>
      <c r="J180" s="136" t="s">
        <v>418</v>
      </c>
      <c r="W180" s="1121" t="str">
        <f ca="1">AB180&amp;"-"&amp;COUNTIF($AB$2:$AB180,$AB180)</f>
        <v>0-3-0-45</v>
      </c>
      <c r="X180" s="1121" t="s">
        <v>258</v>
      </c>
      <c r="Y180" s="1123">
        <f t="shared" ca="1" si="55"/>
        <v>0</v>
      </c>
      <c r="Z180" s="1126">
        <v>3</v>
      </c>
      <c r="AA180" s="1123">
        <f t="shared" ca="1" si="52"/>
        <v>0</v>
      </c>
      <c r="AB180" s="1125" t="str">
        <f t="shared" ca="1" si="54"/>
        <v>0-3-0</v>
      </c>
    </row>
    <row r="181" spans="1:28" ht="15" customHeight="1" x14ac:dyDescent="0.2">
      <c r="A181" s="130" t="s">
        <v>71</v>
      </c>
      <c r="B181" s="130" t="s">
        <v>95</v>
      </c>
      <c r="C181" s="130" t="s">
        <v>259</v>
      </c>
      <c r="D181" s="1112" t="s">
        <v>17</v>
      </c>
      <c r="E181" s="130">
        <v>1</v>
      </c>
      <c r="F181" s="100" t="str">
        <f t="shared" si="48"/>
        <v>RESPONSE-21</v>
      </c>
      <c r="G181" s="100">
        <f t="shared" si="49"/>
        <v>2</v>
      </c>
      <c r="H181" s="133" t="e">
        <f t="shared" ca="1" si="53"/>
        <v>#VALUE!</v>
      </c>
      <c r="I181" s="133">
        <f t="shared" ca="1" si="50"/>
        <v>0</v>
      </c>
      <c r="J181" s="136" t="s">
        <v>792</v>
      </c>
      <c r="W181" s="1121" t="str">
        <f ca="1">AB181&amp;"-"&amp;COUNTIF($AB$2:$AB181,$AB181)</f>
        <v>0-1-0-32</v>
      </c>
      <c r="X181" s="1121" t="s">
        <v>259</v>
      </c>
      <c r="Y181" s="1123">
        <v>0</v>
      </c>
      <c r="Z181" s="1126">
        <v>1</v>
      </c>
      <c r="AA181" s="1123">
        <f t="shared" ca="1" si="52"/>
        <v>0</v>
      </c>
      <c r="AB181" s="1125" t="str">
        <f ca="1">Y181&amp;"-"&amp;Z181&amp;"-"&amp;AA181</f>
        <v>0-1-0</v>
      </c>
    </row>
    <row r="182" spans="1:28" ht="15" customHeight="1" x14ac:dyDescent="0.2">
      <c r="A182" s="130" t="s">
        <v>71</v>
      </c>
      <c r="B182" s="130" t="s">
        <v>95</v>
      </c>
      <c r="C182" s="130" t="s">
        <v>260</v>
      </c>
      <c r="D182" s="1112" t="s">
        <v>18</v>
      </c>
      <c r="E182" s="130">
        <v>1</v>
      </c>
      <c r="F182" s="100" t="str">
        <f t="shared" si="48"/>
        <v>RESPONSE-21</v>
      </c>
      <c r="G182" s="100">
        <f t="shared" si="49"/>
        <v>2</v>
      </c>
      <c r="H182" s="133" t="e">
        <f t="shared" ca="1" si="53"/>
        <v>#VALUE!</v>
      </c>
      <c r="I182" s="133">
        <f t="shared" ca="1" si="50"/>
        <v>0</v>
      </c>
      <c r="J182" s="136" t="s">
        <v>253</v>
      </c>
      <c r="W182" s="1121" t="str">
        <f ca="1">AB182&amp;"-"&amp;COUNTIF($AB$2:$AB182,$AB182)</f>
        <v>0-1-0-33</v>
      </c>
      <c r="X182" s="1121" t="s">
        <v>260</v>
      </c>
      <c r="Y182" s="1123">
        <f t="shared" ref="Y182:Y213" ca="1" si="56">VLOOKUP(LEFT($X182,LEN($X182)-1),$K:$O,5,FALSE)</f>
        <v>0</v>
      </c>
      <c r="Z182" s="1126">
        <v>1</v>
      </c>
      <c r="AA182" s="1123">
        <f t="shared" ca="1" si="52"/>
        <v>0</v>
      </c>
      <c r="AB182" s="1125" t="str">
        <f t="shared" ca="1" si="54"/>
        <v>0-1-0</v>
      </c>
    </row>
    <row r="183" spans="1:28" ht="15" customHeight="1" x14ac:dyDescent="0.2">
      <c r="A183" s="130" t="s">
        <v>71</v>
      </c>
      <c r="B183" s="130" t="s">
        <v>95</v>
      </c>
      <c r="C183" s="130" t="s">
        <v>261</v>
      </c>
      <c r="D183" s="1112" t="s">
        <v>19</v>
      </c>
      <c r="E183" s="130">
        <v>2</v>
      </c>
      <c r="F183" s="100" t="str">
        <f t="shared" si="48"/>
        <v>RESPONSE-22</v>
      </c>
      <c r="G183" s="100">
        <f t="shared" si="49"/>
        <v>5</v>
      </c>
      <c r="H183" s="133" t="e">
        <f t="shared" ca="1" si="53"/>
        <v>#VALUE!</v>
      </c>
      <c r="I183" s="133">
        <f t="shared" ca="1" si="50"/>
        <v>0</v>
      </c>
      <c r="J183" s="136" t="s">
        <v>254</v>
      </c>
      <c r="W183" s="1121" t="str">
        <f ca="1">AB183&amp;"-"&amp;COUNTIF($AB$2:$AB183,$AB183)</f>
        <v>0-2-0-72</v>
      </c>
      <c r="X183" s="1121" t="s">
        <v>261</v>
      </c>
      <c r="Y183" s="1123">
        <f t="shared" ca="1" si="56"/>
        <v>0</v>
      </c>
      <c r="Z183" s="1126">
        <v>2</v>
      </c>
      <c r="AA183" s="1123">
        <f t="shared" ca="1" si="52"/>
        <v>0</v>
      </c>
      <c r="AB183" s="1125" t="str">
        <f t="shared" ca="1" si="54"/>
        <v>0-2-0</v>
      </c>
    </row>
    <row r="184" spans="1:28" ht="15" customHeight="1" x14ac:dyDescent="0.2">
      <c r="A184" s="130" t="s">
        <v>71</v>
      </c>
      <c r="B184" s="130" t="s">
        <v>95</v>
      </c>
      <c r="C184" s="130" t="s">
        <v>262</v>
      </c>
      <c r="D184" s="1112" t="s">
        <v>20</v>
      </c>
      <c r="E184" s="130">
        <v>2</v>
      </c>
      <c r="F184" s="100" t="str">
        <f t="shared" si="48"/>
        <v>RESPONSE-22</v>
      </c>
      <c r="G184" s="100">
        <f t="shared" si="49"/>
        <v>5</v>
      </c>
      <c r="H184" s="133" t="e">
        <f t="shared" ca="1" si="53"/>
        <v>#VALUE!</v>
      </c>
      <c r="I184" s="133">
        <f t="shared" ca="1" si="50"/>
        <v>0</v>
      </c>
      <c r="J184" s="136" t="s">
        <v>255</v>
      </c>
      <c r="W184" s="1121" t="str">
        <f ca="1">AB184&amp;"-"&amp;COUNTIF($AB$2:$AB184,$AB184)</f>
        <v>0-2-0-73</v>
      </c>
      <c r="X184" s="1121" t="s">
        <v>262</v>
      </c>
      <c r="Y184" s="1123">
        <f t="shared" ca="1" si="56"/>
        <v>0</v>
      </c>
      <c r="Z184" s="1126">
        <v>2</v>
      </c>
      <c r="AA184" s="1123">
        <f t="shared" ca="1" si="52"/>
        <v>0</v>
      </c>
      <c r="AB184" s="1125" t="str">
        <f t="shared" ca="1" si="54"/>
        <v>0-2-0</v>
      </c>
    </row>
    <row r="185" spans="1:28" ht="15" customHeight="1" x14ac:dyDescent="0.2">
      <c r="A185" s="130" t="s">
        <v>71</v>
      </c>
      <c r="B185" s="130" t="s">
        <v>95</v>
      </c>
      <c r="C185" s="130" t="s">
        <v>263</v>
      </c>
      <c r="D185" s="1112" t="s">
        <v>21</v>
      </c>
      <c r="E185" s="130">
        <v>2</v>
      </c>
      <c r="F185" s="100" t="str">
        <f t="shared" si="48"/>
        <v>RESPONSE-22</v>
      </c>
      <c r="G185" s="100">
        <f t="shared" si="49"/>
        <v>5</v>
      </c>
      <c r="H185" s="133" t="e">
        <f t="shared" ca="1" si="53"/>
        <v>#VALUE!</v>
      </c>
      <c r="I185" s="133">
        <f t="shared" ca="1" si="50"/>
        <v>0</v>
      </c>
      <c r="J185" s="136" t="s">
        <v>256</v>
      </c>
      <c r="W185" s="1121" t="str">
        <f ca="1">AB185&amp;"-"&amp;COUNTIF($AB$2:$AB185,$AB185)</f>
        <v>0-2-0-74</v>
      </c>
      <c r="X185" s="1121" t="s">
        <v>263</v>
      </c>
      <c r="Y185" s="1123">
        <f t="shared" ca="1" si="56"/>
        <v>0</v>
      </c>
      <c r="Z185" s="1126">
        <v>2</v>
      </c>
      <c r="AA185" s="1123">
        <f t="shared" ca="1" si="52"/>
        <v>0</v>
      </c>
      <c r="AB185" s="1125" t="str">
        <f t="shared" ca="1" si="54"/>
        <v>0-2-0</v>
      </c>
    </row>
    <row r="186" spans="1:28" ht="15" customHeight="1" x14ac:dyDescent="0.2">
      <c r="A186" s="130" t="s">
        <v>71</v>
      </c>
      <c r="B186" s="130" t="s">
        <v>95</v>
      </c>
      <c r="C186" s="130" t="s">
        <v>264</v>
      </c>
      <c r="D186" s="1112" t="s">
        <v>109</v>
      </c>
      <c r="E186" s="130">
        <v>2</v>
      </c>
      <c r="F186" s="100" t="str">
        <f t="shared" si="48"/>
        <v>RESPONSE-22</v>
      </c>
      <c r="G186" s="100">
        <f t="shared" si="49"/>
        <v>5</v>
      </c>
      <c r="H186" s="133" t="e">
        <f t="shared" ca="1" si="53"/>
        <v>#VALUE!</v>
      </c>
      <c r="I186" s="133">
        <f t="shared" ca="1" si="50"/>
        <v>0</v>
      </c>
      <c r="J186" s="136" t="s">
        <v>257</v>
      </c>
      <c r="W186" s="1121" t="str">
        <f ca="1">AB186&amp;"-"&amp;COUNTIF($AB$2:$AB186,$AB186)</f>
        <v>0-2-0-75</v>
      </c>
      <c r="X186" s="1121" t="s">
        <v>264</v>
      </c>
      <c r="Y186" s="1123">
        <f t="shared" ca="1" si="56"/>
        <v>0</v>
      </c>
      <c r="Z186" s="1126">
        <v>2</v>
      </c>
      <c r="AA186" s="1123">
        <f t="shared" ca="1" si="52"/>
        <v>0</v>
      </c>
      <c r="AB186" s="1125" t="str">
        <f t="shared" ca="1" si="54"/>
        <v>0-2-0</v>
      </c>
    </row>
    <row r="187" spans="1:28" ht="15" customHeight="1" x14ac:dyDescent="0.2">
      <c r="A187" s="130" t="s">
        <v>71</v>
      </c>
      <c r="B187" s="130" t="s">
        <v>95</v>
      </c>
      <c r="C187" s="130" t="s">
        <v>265</v>
      </c>
      <c r="D187" s="1112" t="s">
        <v>173</v>
      </c>
      <c r="E187" s="130">
        <v>2</v>
      </c>
      <c r="F187" s="100" t="str">
        <f t="shared" si="48"/>
        <v>RESPONSE-22</v>
      </c>
      <c r="G187" s="100">
        <f t="shared" si="49"/>
        <v>5</v>
      </c>
      <c r="H187" s="133" t="e">
        <f t="shared" ca="1" si="53"/>
        <v>#VALUE!</v>
      </c>
      <c r="I187" s="133">
        <f t="shared" ca="1" si="50"/>
        <v>0</v>
      </c>
      <c r="J187" s="136" t="s">
        <v>258</v>
      </c>
      <c r="W187" s="1121" t="str">
        <f ca="1">AB187&amp;"-"&amp;COUNTIF($AB$2:$AB187,$AB187)</f>
        <v>0-2-0-76</v>
      </c>
      <c r="X187" s="1121" t="s">
        <v>265</v>
      </c>
      <c r="Y187" s="1123">
        <f t="shared" ca="1" si="56"/>
        <v>0</v>
      </c>
      <c r="Z187" s="1126">
        <v>2</v>
      </c>
      <c r="AA187" s="1123">
        <f t="shared" ca="1" si="52"/>
        <v>0</v>
      </c>
      <c r="AB187" s="1125" t="str">
        <f t="shared" ca="1" si="54"/>
        <v>0-2-0</v>
      </c>
    </row>
    <row r="188" spans="1:28" ht="15" customHeight="1" x14ac:dyDescent="0.2">
      <c r="A188" s="130" t="s">
        <v>71</v>
      </c>
      <c r="B188" s="130" t="s">
        <v>95</v>
      </c>
      <c r="C188" s="130" t="s">
        <v>266</v>
      </c>
      <c r="D188" s="1112" t="s">
        <v>175</v>
      </c>
      <c r="E188" s="130">
        <v>3</v>
      </c>
      <c r="F188" s="100" t="str">
        <f t="shared" si="48"/>
        <v>RESPONSE-23</v>
      </c>
      <c r="G188" s="100">
        <f t="shared" si="49"/>
        <v>2</v>
      </c>
      <c r="H188" s="133" t="e">
        <f t="shared" ca="1" si="53"/>
        <v>#VALUE!</v>
      </c>
      <c r="I188" s="133">
        <f t="shared" ca="1" si="50"/>
        <v>0</v>
      </c>
      <c r="J188" s="136" t="s">
        <v>259</v>
      </c>
      <c r="W188" s="1121" t="str">
        <f ca="1">AB188&amp;"-"&amp;COUNTIF($AB$2:$AB188,$AB188)</f>
        <v>0-3-0-46</v>
      </c>
      <c r="X188" s="1121" t="s">
        <v>266</v>
      </c>
      <c r="Y188" s="1123">
        <f t="shared" ca="1" si="56"/>
        <v>0</v>
      </c>
      <c r="Z188" s="1126">
        <v>3</v>
      </c>
      <c r="AA188" s="1123">
        <f t="shared" ca="1" si="52"/>
        <v>0</v>
      </c>
      <c r="AB188" s="1125" t="str">
        <f t="shared" ca="1" si="54"/>
        <v>0-3-0</v>
      </c>
    </row>
    <row r="189" spans="1:28" ht="15" customHeight="1" x14ac:dyDescent="0.2">
      <c r="A189" s="130" t="s">
        <v>71</v>
      </c>
      <c r="B189" s="130" t="s">
        <v>95</v>
      </c>
      <c r="C189" s="130" t="s">
        <v>267</v>
      </c>
      <c r="D189" s="1112" t="s">
        <v>206</v>
      </c>
      <c r="E189" s="130">
        <v>3</v>
      </c>
      <c r="F189" s="100" t="str">
        <f t="shared" si="48"/>
        <v>RESPONSE-23</v>
      </c>
      <c r="G189" s="100">
        <f t="shared" si="49"/>
        <v>2</v>
      </c>
      <c r="H189" s="133" t="e">
        <f t="shared" ca="1" si="53"/>
        <v>#VALUE!</v>
      </c>
      <c r="I189" s="133">
        <f t="shared" ca="1" si="50"/>
        <v>0</v>
      </c>
      <c r="J189" s="136" t="s">
        <v>260</v>
      </c>
      <c r="W189" s="1121" t="str">
        <f ca="1">AB189&amp;"-"&amp;COUNTIF($AB$2:$AB189,$AB189)</f>
        <v>0-3-0-47</v>
      </c>
      <c r="X189" s="1121" t="s">
        <v>267</v>
      </c>
      <c r="Y189" s="1123">
        <f t="shared" ca="1" si="56"/>
        <v>0</v>
      </c>
      <c r="Z189" s="1126">
        <v>3</v>
      </c>
      <c r="AA189" s="1123">
        <f t="shared" ca="1" si="52"/>
        <v>0</v>
      </c>
      <c r="AB189" s="1125" t="str">
        <f t="shared" ca="1" si="54"/>
        <v>0-3-0</v>
      </c>
    </row>
    <row r="190" spans="1:28" ht="15" customHeight="1" x14ac:dyDescent="0.2">
      <c r="A190" s="130" t="s">
        <v>71</v>
      </c>
      <c r="B190" s="130" t="s">
        <v>97</v>
      </c>
      <c r="C190" s="130" t="s">
        <v>268</v>
      </c>
      <c r="D190" s="1112" t="s">
        <v>22</v>
      </c>
      <c r="E190" s="130">
        <v>1</v>
      </c>
      <c r="F190" s="100" t="str">
        <f t="shared" si="48"/>
        <v>RESPONSE-31</v>
      </c>
      <c r="G190" s="100">
        <f t="shared" si="49"/>
        <v>3</v>
      </c>
      <c r="H190" s="133" t="e">
        <f t="shared" ca="1" si="53"/>
        <v>#VALUE!</v>
      </c>
      <c r="I190" s="133">
        <f t="shared" ca="1" si="50"/>
        <v>0</v>
      </c>
      <c r="J190" s="136" t="s">
        <v>261</v>
      </c>
      <c r="W190" s="1121" t="str">
        <f ca="1">AB190&amp;"-"&amp;COUNTIF($AB$2:$AB190,$AB190)</f>
        <v>0-1-0-34</v>
      </c>
      <c r="X190" s="1121" t="s">
        <v>268</v>
      </c>
      <c r="Y190" s="1123">
        <f t="shared" ca="1" si="56"/>
        <v>0</v>
      </c>
      <c r="Z190" s="1126">
        <v>1</v>
      </c>
      <c r="AA190" s="1123">
        <f t="shared" ca="1" si="52"/>
        <v>0</v>
      </c>
      <c r="AB190" s="1125" t="str">
        <f t="shared" ca="1" si="54"/>
        <v>0-1-0</v>
      </c>
    </row>
    <row r="191" spans="1:28" ht="15" customHeight="1" x14ac:dyDescent="0.2">
      <c r="A191" s="130" t="s">
        <v>71</v>
      </c>
      <c r="B191" s="130" t="s">
        <v>97</v>
      </c>
      <c r="C191" s="130" t="s">
        <v>269</v>
      </c>
      <c r="D191" s="1112" t="s">
        <v>23</v>
      </c>
      <c r="E191" s="130">
        <v>1</v>
      </c>
      <c r="F191" s="100" t="str">
        <f t="shared" si="48"/>
        <v>RESPONSE-31</v>
      </c>
      <c r="G191" s="100">
        <f t="shared" si="49"/>
        <v>3</v>
      </c>
      <c r="H191" s="133" t="e">
        <f t="shared" ca="1" si="53"/>
        <v>#VALUE!</v>
      </c>
      <c r="I191" s="133">
        <f t="shared" ca="1" si="50"/>
        <v>0</v>
      </c>
      <c r="J191" s="136" t="s">
        <v>262</v>
      </c>
      <c r="W191" s="1121" t="str">
        <f ca="1">AB191&amp;"-"&amp;COUNTIF($AB$2:$AB191,$AB191)</f>
        <v>0-1-0-35</v>
      </c>
      <c r="X191" s="1121" t="s">
        <v>269</v>
      </c>
      <c r="Y191" s="1123">
        <f t="shared" ca="1" si="56"/>
        <v>0</v>
      </c>
      <c r="Z191" s="1126">
        <v>1</v>
      </c>
      <c r="AA191" s="1123">
        <f t="shared" ca="1" si="52"/>
        <v>0</v>
      </c>
      <c r="AB191" s="1125" t="str">
        <f t="shared" ca="1" si="54"/>
        <v>0-1-0</v>
      </c>
    </row>
    <row r="192" spans="1:28" ht="15" customHeight="1" x14ac:dyDescent="0.2">
      <c r="A192" s="130" t="s">
        <v>71</v>
      </c>
      <c r="B192" s="130" t="s">
        <v>97</v>
      </c>
      <c r="C192" s="130" t="s">
        <v>270</v>
      </c>
      <c r="D192" s="1112" t="s">
        <v>24</v>
      </c>
      <c r="E192" s="130">
        <v>1</v>
      </c>
      <c r="F192" s="100" t="str">
        <f t="shared" si="48"/>
        <v>RESPONSE-31</v>
      </c>
      <c r="G192" s="100">
        <f t="shared" si="49"/>
        <v>3</v>
      </c>
      <c r="H192" s="133" t="e">
        <f t="shared" ca="1" si="53"/>
        <v>#VALUE!</v>
      </c>
      <c r="I192" s="133">
        <f t="shared" ca="1" si="50"/>
        <v>0</v>
      </c>
      <c r="J192" s="136" t="s">
        <v>263</v>
      </c>
      <c r="W192" s="1121" t="str">
        <f ca="1">AB192&amp;"-"&amp;COUNTIF($AB$2:$AB192,$AB192)</f>
        <v>0-1-0-36</v>
      </c>
      <c r="X192" s="1121" t="s">
        <v>270</v>
      </c>
      <c r="Y192" s="1123">
        <f t="shared" ca="1" si="56"/>
        <v>0</v>
      </c>
      <c r="Z192" s="1126">
        <v>1</v>
      </c>
      <c r="AA192" s="1123">
        <f t="shared" ca="1" si="52"/>
        <v>0</v>
      </c>
      <c r="AB192" s="1125" t="str">
        <f t="shared" ca="1" si="54"/>
        <v>0-1-0</v>
      </c>
    </row>
    <row r="193" spans="1:28" ht="15" customHeight="1" x14ac:dyDescent="0.2">
      <c r="A193" s="130" t="s">
        <v>71</v>
      </c>
      <c r="B193" s="130" t="s">
        <v>97</v>
      </c>
      <c r="C193" s="130" t="s">
        <v>271</v>
      </c>
      <c r="D193" s="1112" t="s">
        <v>25</v>
      </c>
      <c r="E193" s="130">
        <v>2</v>
      </c>
      <c r="F193" s="100" t="str">
        <f t="shared" si="48"/>
        <v>RESPONSE-32</v>
      </c>
      <c r="G193" s="100">
        <f t="shared" si="49"/>
        <v>4</v>
      </c>
      <c r="H193" s="133" t="e">
        <f t="shared" ca="1" si="53"/>
        <v>#VALUE!</v>
      </c>
      <c r="I193" s="133">
        <f t="shared" ca="1" si="50"/>
        <v>0</v>
      </c>
      <c r="J193" s="136" t="s">
        <v>264</v>
      </c>
      <c r="W193" s="1121" t="str">
        <f ca="1">AB193&amp;"-"&amp;COUNTIF($AB$2:$AB193,$AB193)</f>
        <v>0-2-0-77</v>
      </c>
      <c r="X193" s="1121" t="s">
        <v>271</v>
      </c>
      <c r="Y193" s="1123">
        <f t="shared" ca="1" si="56"/>
        <v>0</v>
      </c>
      <c r="Z193" s="1126">
        <v>2</v>
      </c>
      <c r="AA193" s="1123">
        <f t="shared" ca="1" si="52"/>
        <v>0</v>
      </c>
      <c r="AB193" s="1125" t="str">
        <f t="shared" ca="1" si="54"/>
        <v>0-2-0</v>
      </c>
    </row>
    <row r="194" spans="1:28" ht="15" customHeight="1" x14ac:dyDescent="0.2">
      <c r="A194" s="130" t="s">
        <v>71</v>
      </c>
      <c r="B194" s="130" t="s">
        <v>97</v>
      </c>
      <c r="C194" s="130" t="s">
        <v>272</v>
      </c>
      <c r="D194" s="1112" t="s">
        <v>26</v>
      </c>
      <c r="E194" s="130">
        <v>2</v>
      </c>
      <c r="F194" s="100" t="str">
        <f t="shared" ref="F194:F257" si="57">CONCATENATE($B194,$E194)</f>
        <v>RESPONSE-32</v>
      </c>
      <c r="G194" s="100">
        <f t="shared" ref="G194:G257" si="58">COUNTIF($F:$F,$F194)</f>
        <v>4</v>
      </c>
      <c r="H194" s="133" t="e">
        <f t="shared" ca="1" si="53"/>
        <v>#VALUE!</v>
      </c>
      <c r="I194" s="133">
        <f t="shared" ref="I194:I257" ca="1" si="59">IFERROR(IF(H194&gt;2,1,0),0)</f>
        <v>0</v>
      </c>
      <c r="J194" s="136" t="s">
        <v>265</v>
      </c>
      <c r="W194" s="1121" t="str">
        <f ca="1">AB194&amp;"-"&amp;COUNTIF($AB$2:$AB194,$AB194)</f>
        <v>0-2-0-78</v>
      </c>
      <c r="X194" s="1121" t="s">
        <v>272</v>
      </c>
      <c r="Y194" s="1123">
        <f t="shared" ca="1" si="56"/>
        <v>0</v>
      </c>
      <c r="Z194" s="1126">
        <v>2</v>
      </c>
      <c r="AA194" s="1123">
        <f t="shared" ref="AA194:AA257" ca="1" si="60">VLOOKUP(X194,C:I,7,FALSE)</f>
        <v>0</v>
      </c>
      <c r="AB194" s="1125" t="str">
        <f t="shared" ca="1" si="54"/>
        <v>0-2-0</v>
      </c>
    </row>
    <row r="195" spans="1:28" ht="15" customHeight="1" x14ac:dyDescent="0.2">
      <c r="A195" s="130" t="s">
        <v>71</v>
      </c>
      <c r="B195" s="130" t="s">
        <v>97</v>
      </c>
      <c r="C195" s="130" t="s">
        <v>273</v>
      </c>
      <c r="D195" s="1112" t="s">
        <v>27</v>
      </c>
      <c r="E195" s="130">
        <v>2</v>
      </c>
      <c r="F195" s="100" t="str">
        <f t="shared" si="57"/>
        <v>RESPONSE-32</v>
      </c>
      <c r="G195" s="100">
        <f t="shared" si="58"/>
        <v>4</v>
      </c>
      <c r="H195" s="133" t="e">
        <f t="shared" ref="H195:H258" ca="1" si="61">INT(LEFT(
VLOOKUP($D195, INDIRECT("'"&amp;$A195&amp;"'!"&amp;"$D:$G"), 4,FALSE), 1)
)</f>
        <v>#VALUE!</v>
      </c>
      <c r="I195" s="133">
        <f t="shared" ca="1" si="59"/>
        <v>0</v>
      </c>
      <c r="J195" s="136" t="s">
        <v>266</v>
      </c>
      <c r="W195" s="1121" t="str">
        <f ca="1">AB195&amp;"-"&amp;COUNTIF($AB$2:$AB195,$AB195)</f>
        <v>0-2-0-79</v>
      </c>
      <c r="X195" s="1121" t="s">
        <v>273</v>
      </c>
      <c r="Y195" s="1123">
        <f t="shared" ca="1" si="56"/>
        <v>0</v>
      </c>
      <c r="Z195" s="1126">
        <v>2</v>
      </c>
      <c r="AA195" s="1123">
        <f t="shared" ca="1" si="60"/>
        <v>0</v>
      </c>
      <c r="AB195" s="1125" t="str">
        <f t="shared" ca="1" si="54"/>
        <v>0-2-0</v>
      </c>
    </row>
    <row r="196" spans="1:28" ht="15" customHeight="1" x14ac:dyDescent="0.2">
      <c r="A196" s="130" t="s">
        <v>71</v>
      </c>
      <c r="B196" s="130" t="s">
        <v>97</v>
      </c>
      <c r="C196" s="130" t="s">
        <v>274</v>
      </c>
      <c r="D196" s="1112" t="s">
        <v>28</v>
      </c>
      <c r="E196" s="130">
        <v>2</v>
      </c>
      <c r="F196" s="100" t="str">
        <f t="shared" si="57"/>
        <v>RESPONSE-32</v>
      </c>
      <c r="G196" s="100">
        <f t="shared" si="58"/>
        <v>4</v>
      </c>
      <c r="H196" s="133" t="e">
        <f t="shared" ca="1" si="61"/>
        <v>#VALUE!</v>
      </c>
      <c r="I196" s="133">
        <f t="shared" ca="1" si="59"/>
        <v>0</v>
      </c>
      <c r="J196" s="136" t="s">
        <v>267</v>
      </c>
      <c r="W196" s="1121" t="str">
        <f ca="1">AB196&amp;"-"&amp;COUNTIF($AB$2:$AB196,$AB196)</f>
        <v>0-2-0-80</v>
      </c>
      <c r="X196" s="1121" t="s">
        <v>274</v>
      </c>
      <c r="Y196" s="1123">
        <f t="shared" ca="1" si="56"/>
        <v>0</v>
      </c>
      <c r="Z196" s="1126">
        <v>2</v>
      </c>
      <c r="AA196" s="1123">
        <f t="shared" ca="1" si="60"/>
        <v>0</v>
      </c>
      <c r="AB196" s="1125" t="str">
        <f t="shared" ref="AB196:AB259" ca="1" si="62">Y196&amp;"-"&amp;Z196&amp;"-"&amp;AA196</f>
        <v>0-2-0</v>
      </c>
    </row>
    <row r="197" spans="1:28" ht="15" customHeight="1" x14ac:dyDescent="0.2">
      <c r="A197" s="130" t="s">
        <v>71</v>
      </c>
      <c r="B197" s="130" t="s">
        <v>97</v>
      </c>
      <c r="C197" s="130" t="s">
        <v>275</v>
      </c>
      <c r="D197" s="1112" t="s">
        <v>244</v>
      </c>
      <c r="E197" s="130">
        <v>3</v>
      </c>
      <c r="F197" s="100" t="str">
        <f t="shared" si="57"/>
        <v>RESPONSE-33</v>
      </c>
      <c r="G197" s="100">
        <f t="shared" si="58"/>
        <v>4</v>
      </c>
      <c r="H197" s="133" t="e">
        <f t="shared" ca="1" si="61"/>
        <v>#VALUE!</v>
      </c>
      <c r="I197" s="133">
        <f t="shared" ca="1" si="59"/>
        <v>0</v>
      </c>
      <c r="J197" s="136" t="s">
        <v>268</v>
      </c>
      <c r="W197" s="1121" t="str">
        <f ca="1">AB197&amp;"-"&amp;COUNTIF($AB$2:$AB197,$AB197)</f>
        <v>0-3-0-48</v>
      </c>
      <c r="X197" s="1121" t="s">
        <v>275</v>
      </c>
      <c r="Y197" s="1123">
        <f t="shared" ca="1" si="56"/>
        <v>0</v>
      </c>
      <c r="Z197" s="1126">
        <v>3</v>
      </c>
      <c r="AA197" s="1123">
        <f t="shared" ca="1" si="60"/>
        <v>0</v>
      </c>
      <c r="AB197" s="1125" t="str">
        <f t="shared" ca="1" si="62"/>
        <v>0-3-0</v>
      </c>
    </row>
    <row r="198" spans="1:28" ht="15" customHeight="1" x14ac:dyDescent="0.2">
      <c r="A198" s="130" t="s">
        <v>71</v>
      </c>
      <c r="B198" s="130" t="s">
        <v>97</v>
      </c>
      <c r="C198" s="130" t="s">
        <v>276</v>
      </c>
      <c r="D198" s="1112" t="s">
        <v>277</v>
      </c>
      <c r="E198" s="130">
        <v>3</v>
      </c>
      <c r="F198" s="100" t="str">
        <f t="shared" si="57"/>
        <v>RESPONSE-33</v>
      </c>
      <c r="G198" s="100">
        <f t="shared" si="58"/>
        <v>4</v>
      </c>
      <c r="H198" s="133" t="e">
        <f t="shared" ca="1" si="61"/>
        <v>#VALUE!</v>
      </c>
      <c r="I198" s="133">
        <f t="shared" ca="1" si="59"/>
        <v>0</v>
      </c>
      <c r="J198" s="136" t="s">
        <v>269</v>
      </c>
      <c r="W198" s="1121" t="str">
        <f ca="1">AB198&amp;"-"&amp;COUNTIF($AB$2:$AB198,$AB198)</f>
        <v>0-3-0-49</v>
      </c>
      <c r="X198" s="1121" t="s">
        <v>276</v>
      </c>
      <c r="Y198" s="1123">
        <f t="shared" ca="1" si="56"/>
        <v>0</v>
      </c>
      <c r="Z198" s="1126">
        <v>3</v>
      </c>
      <c r="AA198" s="1123">
        <f t="shared" ca="1" si="60"/>
        <v>0</v>
      </c>
      <c r="AB198" s="1125" t="str">
        <f t="shared" ca="1" si="62"/>
        <v>0-3-0</v>
      </c>
    </row>
    <row r="199" spans="1:28" ht="15" customHeight="1" x14ac:dyDescent="0.2">
      <c r="A199" s="130" t="s">
        <v>71</v>
      </c>
      <c r="B199" s="130" t="s">
        <v>97</v>
      </c>
      <c r="C199" s="130" t="s">
        <v>278</v>
      </c>
      <c r="D199" s="1112" t="s">
        <v>279</v>
      </c>
      <c r="E199" s="130">
        <v>3</v>
      </c>
      <c r="F199" s="100" t="str">
        <f t="shared" si="57"/>
        <v>RESPONSE-33</v>
      </c>
      <c r="G199" s="100">
        <f t="shared" si="58"/>
        <v>4</v>
      </c>
      <c r="H199" s="133" t="e">
        <f t="shared" ca="1" si="61"/>
        <v>#VALUE!</v>
      </c>
      <c r="I199" s="133">
        <f t="shared" ca="1" si="59"/>
        <v>0</v>
      </c>
      <c r="J199" s="136" t="s">
        <v>270</v>
      </c>
      <c r="W199" s="1121" t="str">
        <f ca="1">AB199&amp;"-"&amp;COUNTIF($AB$2:$AB199,$AB199)</f>
        <v>0-3-0-50</v>
      </c>
      <c r="X199" s="1121" t="s">
        <v>278</v>
      </c>
      <c r="Y199" s="1123">
        <f t="shared" ca="1" si="56"/>
        <v>0</v>
      </c>
      <c r="Z199" s="1126">
        <v>3</v>
      </c>
      <c r="AA199" s="1123">
        <f t="shared" ca="1" si="60"/>
        <v>0</v>
      </c>
      <c r="AB199" s="1125" t="str">
        <f t="shared" ca="1" si="62"/>
        <v>0-3-0</v>
      </c>
    </row>
    <row r="200" spans="1:28" ht="15" customHeight="1" x14ac:dyDescent="0.2">
      <c r="A200" s="130" t="s">
        <v>71</v>
      </c>
      <c r="B200" s="130" t="s">
        <v>97</v>
      </c>
      <c r="C200" s="130" t="s">
        <v>1060</v>
      </c>
      <c r="D200" s="1112" t="s">
        <v>410</v>
      </c>
      <c r="E200" s="130">
        <v>3</v>
      </c>
      <c r="F200" s="100" t="str">
        <f t="shared" si="57"/>
        <v>RESPONSE-33</v>
      </c>
      <c r="G200" s="100">
        <f t="shared" si="58"/>
        <v>4</v>
      </c>
      <c r="H200" s="133" t="e">
        <f t="shared" ca="1" si="61"/>
        <v>#VALUE!</v>
      </c>
      <c r="I200" s="133">
        <f t="shared" ca="1" si="59"/>
        <v>0</v>
      </c>
      <c r="J200" s="136" t="s">
        <v>271</v>
      </c>
      <c r="W200" s="1121" t="str">
        <f ca="1">AB200&amp;"-"&amp;COUNTIF($AB$2:$AB200,$AB200)</f>
        <v>0-3-0-51</v>
      </c>
      <c r="X200" s="1121" t="s">
        <v>1060</v>
      </c>
      <c r="Y200" s="1123">
        <f t="shared" ca="1" si="56"/>
        <v>0</v>
      </c>
      <c r="Z200" s="1126">
        <v>3</v>
      </c>
      <c r="AA200" s="1123">
        <f t="shared" ca="1" si="60"/>
        <v>0</v>
      </c>
      <c r="AB200" s="1125" t="str">
        <f t="shared" ca="1" si="62"/>
        <v>0-3-0</v>
      </c>
    </row>
    <row r="201" spans="1:28" ht="15" customHeight="1" x14ac:dyDescent="0.2">
      <c r="A201" s="130" t="s">
        <v>71</v>
      </c>
      <c r="B201" s="130" t="s">
        <v>99</v>
      </c>
      <c r="C201" s="130" t="s">
        <v>280</v>
      </c>
      <c r="D201" s="1112" t="s">
        <v>123</v>
      </c>
      <c r="E201" s="130">
        <v>1</v>
      </c>
      <c r="F201" s="100" t="str">
        <f t="shared" si="57"/>
        <v>RESPONSE-41</v>
      </c>
      <c r="G201" s="100">
        <f t="shared" si="58"/>
        <v>3</v>
      </c>
      <c r="H201" s="133" t="e">
        <f t="shared" ca="1" si="61"/>
        <v>#VALUE!</v>
      </c>
      <c r="I201" s="133">
        <f t="shared" ca="1" si="59"/>
        <v>0</v>
      </c>
      <c r="J201" s="136" t="s">
        <v>272</v>
      </c>
      <c r="W201" s="1121" t="str">
        <f ca="1">AB201&amp;"-"&amp;COUNTIF($AB$2:$AB201,$AB201)</f>
        <v>0-1-0-37</v>
      </c>
      <c r="X201" s="1121" t="s">
        <v>280</v>
      </c>
      <c r="Y201" s="1123">
        <f t="shared" ca="1" si="56"/>
        <v>0</v>
      </c>
      <c r="Z201" s="1126">
        <v>1</v>
      </c>
      <c r="AA201" s="1123">
        <f t="shared" ca="1" si="60"/>
        <v>0</v>
      </c>
      <c r="AB201" s="1125" t="str">
        <f t="shared" ca="1" si="62"/>
        <v>0-1-0</v>
      </c>
    </row>
    <row r="202" spans="1:28" ht="15" customHeight="1" x14ac:dyDescent="0.2">
      <c r="A202" s="130" t="s">
        <v>71</v>
      </c>
      <c r="B202" s="130" t="s">
        <v>99</v>
      </c>
      <c r="C202" s="130" t="s">
        <v>281</v>
      </c>
      <c r="D202" s="1112" t="s">
        <v>126</v>
      </c>
      <c r="E202" s="130">
        <v>1</v>
      </c>
      <c r="F202" s="100" t="str">
        <f t="shared" si="57"/>
        <v>RESPONSE-41</v>
      </c>
      <c r="G202" s="100">
        <f t="shared" si="58"/>
        <v>3</v>
      </c>
      <c r="H202" s="133" t="e">
        <f t="shared" ca="1" si="61"/>
        <v>#VALUE!</v>
      </c>
      <c r="I202" s="133">
        <f t="shared" ca="1" si="59"/>
        <v>0</v>
      </c>
      <c r="J202" s="136" t="s">
        <v>273</v>
      </c>
      <c r="W202" s="1121" t="str">
        <f ca="1">AB202&amp;"-"&amp;COUNTIF($AB$2:$AB202,$AB202)</f>
        <v>0-1-0-38</v>
      </c>
      <c r="X202" s="1121" t="s">
        <v>281</v>
      </c>
      <c r="Y202" s="1123">
        <f t="shared" ca="1" si="56"/>
        <v>0</v>
      </c>
      <c r="Z202" s="1126">
        <v>1</v>
      </c>
      <c r="AA202" s="1123">
        <f t="shared" ca="1" si="60"/>
        <v>0</v>
      </c>
      <c r="AB202" s="1125" t="str">
        <f t="shared" ca="1" si="62"/>
        <v>0-1-0</v>
      </c>
    </row>
    <row r="203" spans="1:28" ht="15" customHeight="1" x14ac:dyDescent="0.2">
      <c r="A203" s="130" t="s">
        <v>71</v>
      </c>
      <c r="B203" s="130" t="s">
        <v>99</v>
      </c>
      <c r="C203" s="130" t="s">
        <v>282</v>
      </c>
      <c r="D203" s="1112" t="s">
        <v>129</v>
      </c>
      <c r="E203" s="130">
        <v>1</v>
      </c>
      <c r="F203" s="100" t="str">
        <f t="shared" si="57"/>
        <v>RESPONSE-41</v>
      </c>
      <c r="G203" s="100">
        <f t="shared" si="58"/>
        <v>3</v>
      </c>
      <c r="H203" s="133" t="e">
        <f t="shared" ca="1" si="61"/>
        <v>#VALUE!</v>
      </c>
      <c r="I203" s="133">
        <f t="shared" ca="1" si="59"/>
        <v>0</v>
      </c>
      <c r="J203" s="136" t="s">
        <v>274</v>
      </c>
      <c r="W203" s="1121" t="str">
        <f ca="1">AB203&amp;"-"&amp;COUNTIF($AB$2:$AB203,$AB203)</f>
        <v>0-1-0-39</v>
      </c>
      <c r="X203" s="1121" t="s">
        <v>282</v>
      </c>
      <c r="Y203" s="1123">
        <f t="shared" ca="1" si="56"/>
        <v>0</v>
      </c>
      <c r="Z203" s="1126">
        <v>1</v>
      </c>
      <c r="AA203" s="1123">
        <f t="shared" ca="1" si="60"/>
        <v>0</v>
      </c>
      <c r="AB203" s="1125" t="str">
        <f t="shared" ca="1" si="62"/>
        <v>0-1-0</v>
      </c>
    </row>
    <row r="204" spans="1:28" ht="15" customHeight="1" x14ac:dyDescent="0.2">
      <c r="A204" s="130" t="s">
        <v>71</v>
      </c>
      <c r="B204" s="130" t="s">
        <v>99</v>
      </c>
      <c r="C204" s="130" t="s">
        <v>283</v>
      </c>
      <c r="D204" s="1112" t="s">
        <v>132</v>
      </c>
      <c r="E204" s="130">
        <v>2</v>
      </c>
      <c r="F204" s="100" t="str">
        <f t="shared" si="57"/>
        <v>RESPONSE-42</v>
      </c>
      <c r="G204" s="100">
        <f t="shared" si="58"/>
        <v>9</v>
      </c>
      <c r="H204" s="133" t="e">
        <f t="shared" ca="1" si="61"/>
        <v>#VALUE!</v>
      </c>
      <c r="I204" s="133">
        <f t="shared" ca="1" si="59"/>
        <v>0</v>
      </c>
      <c r="J204" s="136" t="s">
        <v>275</v>
      </c>
      <c r="W204" s="1121" t="str">
        <f ca="1">AB204&amp;"-"&amp;COUNTIF($AB$2:$AB204,$AB204)</f>
        <v>0-2-0-81</v>
      </c>
      <c r="X204" s="1121" t="s">
        <v>283</v>
      </c>
      <c r="Y204" s="1123">
        <f t="shared" ca="1" si="56"/>
        <v>0</v>
      </c>
      <c r="Z204" s="1126">
        <v>2</v>
      </c>
      <c r="AA204" s="1123">
        <f t="shared" ca="1" si="60"/>
        <v>0</v>
      </c>
      <c r="AB204" s="1125" t="str">
        <f t="shared" ca="1" si="62"/>
        <v>0-2-0</v>
      </c>
    </row>
    <row r="205" spans="1:28" ht="15" customHeight="1" x14ac:dyDescent="0.2">
      <c r="A205" s="130" t="s">
        <v>71</v>
      </c>
      <c r="B205" s="130" t="s">
        <v>99</v>
      </c>
      <c r="C205" s="130" t="s">
        <v>284</v>
      </c>
      <c r="D205" s="1112" t="s">
        <v>135</v>
      </c>
      <c r="E205" s="130">
        <v>2</v>
      </c>
      <c r="F205" s="100" t="str">
        <f t="shared" si="57"/>
        <v>RESPONSE-42</v>
      </c>
      <c r="G205" s="100">
        <f t="shared" si="58"/>
        <v>9</v>
      </c>
      <c r="H205" s="133" t="e">
        <f t="shared" ca="1" si="61"/>
        <v>#VALUE!</v>
      </c>
      <c r="I205" s="133">
        <f t="shared" ca="1" si="59"/>
        <v>0</v>
      </c>
      <c r="J205" s="136" t="s">
        <v>276</v>
      </c>
      <c r="W205" s="1121" t="str">
        <f ca="1">AB205&amp;"-"&amp;COUNTIF($AB$2:$AB205,$AB205)</f>
        <v>0-2-0-82</v>
      </c>
      <c r="X205" s="1121" t="s">
        <v>284</v>
      </c>
      <c r="Y205" s="1123">
        <f t="shared" ca="1" si="56"/>
        <v>0</v>
      </c>
      <c r="Z205" s="1126">
        <v>2</v>
      </c>
      <c r="AA205" s="1123">
        <f t="shared" ca="1" si="60"/>
        <v>0</v>
      </c>
      <c r="AB205" s="1125" t="str">
        <f t="shared" ca="1" si="62"/>
        <v>0-2-0</v>
      </c>
    </row>
    <row r="206" spans="1:28" ht="15" customHeight="1" x14ac:dyDescent="0.2">
      <c r="A206" s="130" t="s">
        <v>71</v>
      </c>
      <c r="B206" s="130" t="s">
        <v>99</v>
      </c>
      <c r="C206" s="130" t="s">
        <v>285</v>
      </c>
      <c r="D206" s="1112" t="s">
        <v>137</v>
      </c>
      <c r="E206" s="130">
        <v>2</v>
      </c>
      <c r="F206" s="100" t="str">
        <f t="shared" si="57"/>
        <v>RESPONSE-42</v>
      </c>
      <c r="G206" s="100">
        <f t="shared" si="58"/>
        <v>9</v>
      </c>
      <c r="H206" s="133" t="e">
        <f t="shared" ca="1" si="61"/>
        <v>#VALUE!</v>
      </c>
      <c r="I206" s="133">
        <f t="shared" ca="1" si="59"/>
        <v>0</v>
      </c>
      <c r="J206" s="136" t="s">
        <v>278</v>
      </c>
      <c r="W206" s="1121" t="str">
        <f ca="1">AB206&amp;"-"&amp;COUNTIF($AB$2:$AB206,$AB206)</f>
        <v>0-2-0-83</v>
      </c>
      <c r="X206" s="1121" t="s">
        <v>285</v>
      </c>
      <c r="Y206" s="1123">
        <f t="shared" ca="1" si="56"/>
        <v>0</v>
      </c>
      <c r="Z206" s="1126">
        <v>2</v>
      </c>
      <c r="AA206" s="1123">
        <f t="shared" ca="1" si="60"/>
        <v>0</v>
      </c>
      <c r="AB206" s="1125" t="str">
        <f t="shared" ca="1" si="62"/>
        <v>0-2-0</v>
      </c>
    </row>
    <row r="207" spans="1:28" ht="15" customHeight="1" x14ac:dyDescent="0.2">
      <c r="A207" s="130" t="s">
        <v>71</v>
      </c>
      <c r="B207" s="130" t="s">
        <v>99</v>
      </c>
      <c r="C207" s="130" t="s">
        <v>286</v>
      </c>
      <c r="D207" s="1112" t="s">
        <v>252</v>
      </c>
      <c r="E207" s="130">
        <v>2</v>
      </c>
      <c r="F207" s="100" t="str">
        <f t="shared" si="57"/>
        <v>RESPONSE-42</v>
      </c>
      <c r="G207" s="100">
        <f t="shared" si="58"/>
        <v>9</v>
      </c>
      <c r="H207" s="133" t="e">
        <f t="shared" ca="1" si="61"/>
        <v>#VALUE!</v>
      </c>
      <c r="I207" s="133">
        <f t="shared" ca="1" si="59"/>
        <v>0</v>
      </c>
      <c r="J207" s="136" t="s">
        <v>280</v>
      </c>
      <c r="W207" s="1121" t="str">
        <f ca="1">AB207&amp;"-"&amp;COUNTIF($AB$2:$AB207,$AB207)</f>
        <v>0-2-0-84</v>
      </c>
      <c r="X207" s="1121" t="s">
        <v>286</v>
      </c>
      <c r="Y207" s="1123">
        <f t="shared" ca="1" si="56"/>
        <v>0</v>
      </c>
      <c r="Z207" s="1126">
        <v>2</v>
      </c>
      <c r="AA207" s="1123">
        <f t="shared" ca="1" si="60"/>
        <v>0</v>
      </c>
      <c r="AB207" s="1125" t="str">
        <f t="shared" ca="1" si="62"/>
        <v>0-2-0</v>
      </c>
    </row>
    <row r="208" spans="1:28" ht="15" customHeight="1" x14ac:dyDescent="0.2">
      <c r="A208" s="130" t="s">
        <v>71</v>
      </c>
      <c r="B208" s="130" t="s">
        <v>99</v>
      </c>
      <c r="C208" s="130" t="s">
        <v>1061</v>
      </c>
      <c r="D208" s="1112" t="s">
        <v>369</v>
      </c>
      <c r="E208" s="130">
        <v>2</v>
      </c>
      <c r="F208" s="100" t="str">
        <f t="shared" si="57"/>
        <v>RESPONSE-42</v>
      </c>
      <c r="G208" s="100">
        <f t="shared" si="58"/>
        <v>9</v>
      </c>
      <c r="H208" s="133" t="e">
        <f t="shared" ca="1" si="61"/>
        <v>#VALUE!</v>
      </c>
      <c r="I208" s="133">
        <f t="shared" ca="1" si="59"/>
        <v>0</v>
      </c>
      <c r="J208" s="136" t="s">
        <v>281</v>
      </c>
      <c r="W208" s="1121" t="str">
        <f ca="1">AB208&amp;"-"&amp;COUNTIF($AB$2:$AB208,$AB208)</f>
        <v>0-2-0-85</v>
      </c>
      <c r="X208" s="1121" t="s">
        <v>1061</v>
      </c>
      <c r="Y208" s="1123">
        <f t="shared" ca="1" si="56"/>
        <v>0</v>
      </c>
      <c r="Z208" s="1126">
        <v>2</v>
      </c>
      <c r="AA208" s="1123">
        <f t="shared" ca="1" si="60"/>
        <v>0</v>
      </c>
      <c r="AB208" s="1125" t="str">
        <f t="shared" ca="1" si="62"/>
        <v>0-2-0</v>
      </c>
    </row>
    <row r="209" spans="1:28" ht="15" customHeight="1" x14ac:dyDescent="0.2">
      <c r="A209" s="130" t="s">
        <v>71</v>
      </c>
      <c r="B209" s="130" t="s">
        <v>99</v>
      </c>
      <c r="C209" s="130" t="s">
        <v>1062</v>
      </c>
      <c r="D209" s="1112" t="s">
        <v>371</v>
      </c>
      <c r="E209" s="130">
        <v>2</v>
      </c>
      <c r="F209" s="100" t="str">
        <f t="shared" si="57"/>
        <v>RESPONSE-42</v>
      </c>
      <c r="G209" s="100">
        <f t="shared" si="58"/>
        <v>9</v>
      </c>
      <c r="H209" s="133" t="e">
        <f t="shared" ca="1" si="61"/>
        <v>#VALUE!</v>
      </c>
      <c r="I209" s="133">
        <f t="shared" ca="1" si="59"/>
        <v>0</v>
      </c>
      <c r="J209" s="136" t="s">
        <v>282</v>
      </c>
      <c r="W209" s="1121" t="str">
        <f ca="1">AB209&amp;"-"&amp;COUNTIF($AB$2:$AB209,$AB209)</f>
        <v>0-2-0-86</v>
      </c>
      <c r="X209" s="1121" t="s">
        <v>1062</v>
      </c>
      <c r="Y209" s="1123">
        <f t="shared" ca="1" si="56"/>
        <v>0</v>
      </c>
      <c r="Z209" s="1126">
        <v>2</v>
      </c>
      <c r="AA209" s="1123">
        <f t="shared" ca="1" si="60"/>
        <v>0</v>
      </c>
      <c r="AB209" s="1125" t="str">
        <f t="shared" ca="1" si="62"/>
        <v>0-2-0</v>
      </c>
    </row>
    <row r="210" spans="1:28" ht="15" customHeight="1" x14ac:dyDescent="0.2">
      <c r="A210" s="130" t="s">
        <v>71</v>
      </c>
      <c r="B210" s="130" t="s">
        <v>99</v>
      </c>
      <c r="C210" s="130" t="s">
        <v>1063</v>
      </c>
      <c r="D210" s="1112" t="s">
        <v>1104</v>
      </c>
      <c r="E210" s="130">
        <v>2</v>
      </c>
      <c r="F210" s="100" t="str">
        <f t="shared" si="57"/>
        <v>RESPONSE-42</v>
      </c>
      <c r="G210" s="100">
        <f t="shared" si="58"/>
        <v>9</v>
      </c>
      <c r="H210" s="133" t="e">
        <f t="shared" ca="1" si="61"/>
        <v>#VALUE!</v>
      </c>
      <c r="I210" s="133">
        <f t="shared" ca="1" si="59"/>
        <v>0</v>
      </c>
      <c r="J210" s="136" t="s">
        <v>283</v>
      </c>
      <c r="W210" s="1121" t="str">
        <f ca="1">AB210&amp;"-"&amp;COUNTIF($AB$2:$AB210,$AB210)</f>
        <v>0-2-0-87</v>
      </c>
      <c r="X210" s="1121" t="s">
        <v>1063</v>
      </c>
      <c r="Y210" s="1123">
        <f t="shared" ca="1" si="56"/>
        <v>0</v>
      </c>
      <c r="Z210" s="1126">
        <v>2</v>
      </c>
      <c r="AA210" s="1123">
        <f t="shared" ca="1" si="60"/>
        <v>0</v>
      </c>
      <c r="AB210" s="1125" t="str">
        <f t="shared" ca="1" si="62"/>
        <v>0-2-0</v>
      </c>
    </row>
    <row r="211" spans="1:28" ht="15" customHeight="1" x14ac:dyDescent="0.2">
      <c r="A211" s="130" t="s">
        <v>71</v>
      </c>
      <c r="B211" s="130" t="s">
        <v>99</v>
      </c>
      <c r="C211" s="130" t="s">
        <v>1064</v>
      </c>
      <c r="D211" s="1112" t="s">
        <v>1105</v>
      </c>
      <c r="E211" s="130">
        <v>2</v>
      </c>
      <c r="F211" s="100" t="str">
        <f t="shared" si="57"/>
        <v>RESPONSE-42</v>
      </c>
      <c r="G211" s="100">
        <f t="shared" si="58"/>
        <v>9</v>
      </c>
      <c r="H211" s="133" t="e">
        <f t="shared" ca="1" si="61"/>
        <v>#VALUE!</v>
      </c>
      <c r="I211" s="133">
        <f t="shared" ca="1" si="59"/>
        <v>0</v>
      </c>
      <c r="J211" s="136" t="s">
        <v>284</v>
      </c>
      <c r="W211" s="1121" t="str">
        <f ca="1">AB211&amp;"-"&amp;COUNTIF($AB$2:$AB211,$AB211)</f>
        <v>0-2-0-88</v>
      </c>
      <c r="X211" s="1121" t="s">
        <v>1064</v>
      </c>
      <c r="Y211" s="1123">
        <f t="shared" ca="1" si="56"/>
        <v>0</v>
      </c>
      <c r="Z211" s="1126">
        <v>2</v>
      </c>
      <c r="AA211" s="1123">
        <f t="shared" ca="1" si="60"/>
        <v>0</v>
      </c>
      <c r="AB211" s="1125" t="str">
        <f t="shared" ca="1" si="62"/>
        <v>0-2-0</v>
      </c>
    </row>
    <row r="212" spans="1:28" ht="15" customHeight="1" x14ac:dyDescent="0.2">
      <c r="A212" s="130" t="s">
        <v>71</v>
      </c>
      <c r="B212" s="130" t="s">
        <v>99</v>
      </c>
      <c r="C212" s="130" t="s">
        <v>1065</v>
      </c>
      <c r="D212" s="1112" t="s">
        <v>1106</v>
      </c>
      <c r="E212" s="130">
        <v>2</v>
      </c>
      <c r="F212" s="100" t="str">
        <f t="shared" si="57"/>
        <v>RESPONSE-42</v>
      </c>
      <c r="G212" s="100">
        <f t="shared" si="58"/>
        <v>9</v>
      </c>
      <c r="H212" s="133" t="e">
        <f t="shared" ca="1" si="61"/>
        <v>#VALUE!</v>
      </c>
      <c r="I212" s="133">
        <f t="shared" ca="1" si="59"/>
        <v>0</v>
      </c>
      <c r="J212" s="136" t="s">
        <v>285</v>
      </c>
      <c r="W212" s="1121" t="str">
        <f ca="1">AB212&amp;"-"&amp;COUNTIF($AB$2:$AB212,$AB212)</f>
        <v>0-2-0-89</v>
      </c>
      <c r="X212" s="1121" t="s">
        <v>1065</v>
      </c>
      <c r="Y212" s="1123">
        <f t="shared" ca="1" si="56"/>
        <v>0</v>
      </c>
      <c r="Z212" s="1126">
        <v>2</v>
      </c>
      <c r="AA212" s="1123">
        <f t="shared" ca="1" si="60"/>
        <v>0</v>
      </c>
      <c r="AB212" s="1125" t="str">
        <f t="shared" ca="1" si="62"/>
        <v>0-2-0</v>
      </c>
    </row>
    <row r="213" spans="1:28" ht="15" customHeight="1" x14ac:dyDescent="0.2">
      <c r="A213" s="130" t="s">
        <v>71</v>
      </c>
      <c r="B213" s="130" t="s">
        <v>99</v>
      </c>
      <c r="C213" s="130" t="s">
        <v>1066</v>
      </c>
      <c r="D213" s="1112" t="s">
        <v>1107</v>
      </c>
      <c r="E213" s="130">
        <v>3</v>
      </c>
      <c r="F213" s="100" t="str">
        <f t="shared" si="57"/>
        <v>RESPONSE-43</v>
      </c>
      <c r="G213" s="100">
        <f t="shared" si="58"/>
        <v>5</v>
      </c>
      <c r="H213" s="133" t="e">
        <f t="shared" ca="1" si="61"/>
        <v>#VALUE!</v>
      </c>
      <c r="I213" s="133">
        <f t="shared" ca="1" si="59"/>
        <v>0</v>
      </c>
      <c r="J213" s="136" t="s">
        <v>286</v>
      </c>
      <c r="W213" s="1121" t="str">
        <f ca="1">AB213&amp;"-"&amp;COUNTIF($AB$2:$AB213,$AB213)</f>
        <v>0-3-0-52</v>
      </c>
      <c r="X213" s="1121" t="s">
        <v>1066</v>
      </c>
      <c r="Y213" s="1123">
        <f t="shared" ca="1" si="56"/>
        <v>0</v>
      </c>
      <c r="Z213" s="1126">
        <v>3</v>
      </c>
      <c r="AA213" s="1123">
        <f t="shared" ca="1" si="60"/>
        <v>0</v>
      </c>
      <c r="AB213" s="1125" t="str">
        <f t="shared" ca="1" si="62"/>
        <v>0-3-0</v>
      </c>
    </row>
    <row r="214" spans="1:28" ht="15" customHeight="1" x14ac:dyDescent="0.2">
      <c r="A214" s="130" t="s">
        <v>71</v>
      </c>
      <c r="B214" s="130" t="s">
        <v>99</v>
      </c>
      <c r="C214" s="130" t="s">
        <v>1067</v>
      </c>
      <c r="D214" s="1112" t="s">
        <v>1108</v>
      </c>
      <c r="E214" s="130">
        <v>3</v>
      </c>
      <c r="F214" s="100" t="str">
        <f t="shared" si="57"/>
        <v>RESPONSE-43</v>
      </c>
      <c r="G214" s="100">
        <f t="shared" si="58"/>
        <v>5</v>
      </c>
      <c r="H214" s="133" t="e">
        <f t="shared" ca="1" si="61"/>
        <v>#VALUE!</v>
      </c>
      <c r="I214" s="133">
        <f t="shared" ca="1" si="59"/>
        <v>0</v>
      </c>
      <c r="J214" s="136" t="s">
        <v>41</v>
      </c>
      <c r="W214" s="1121" t="str">
        <f ca="1">AB214&amp;"-"&amp;COUNTIF($AB$2:$AB214,$AB214)</f>
        <v>0-3-0-53</v>
      </c>
      <c r="X214" s="1121" t="s">
        <v>1067</v>
      </c>
      <c r="Y214" s="1123">
        <f t="shared" ref="Y214:Y245" ca="1" si="63">VLOOKUP(LEFT($X214,LEN($X214)-1),$K:$O,5,FALSE)</f>
        <v>0</v>
      </c>
      <c r="Z214" s="1126">
        <v>3</v>
      </c>
      <c r="AA214" s="1123">
        <f t="shared" ca="1" si="60"/>
        <v>0</v>
      </c>
      <c r="AB214" s="1125" t="str">
        <f t="shared" ca="1" si="62"/>
        <v>0-3-0</v>
      </c>
    </row>
    <row r="215" spans="1:28" ht="15" customHeight="1" x14ac:dyDescent="0.2">
      <c r="A215" s="130" t="s">
        <v>71</v>
      </c>
      <c r="B215" s="130" t="s">
        <v>99</v>
      </c>
      <c r="C215" s="130" t="s">
        <v>1068</v>
      </c>
      <c r="D215" s="1112" t="s">
        <v>1109</v>
      </c>
      <c r="E215" s="130">
        <v>3</v>
      </c>
      <c r="F215" s="100" t="str">
        <f t="shared" si="57"/>
        <v>RESPONSE-43</v>
      </c>
      <c r="G215" s="100">
        <f t="shared" si="58"/>
        <v>5</v>
      </c>
      <c r="H215" s="133" t="e">
        <f t="shared" ca="1" si="61"/>
        <v>#VALUE!</v>
      </c>
      <c r="I215" s="133">
        <f t="shared" ca="1" si="59"/>
        <v>0</v>
      </c>
      <c r="J215" s="136" t="s">
        <v>42</v>
      </c>
      <c r="W215" s="1121" t="str">
        <f ca="1">AB215&amp;"-"&amp;COUNTIF($AB$2:$AB215,$AB215)</f>
        <v>0-3-0-54</v>
      </c>
      <c r="X215" s="1121" t="s">
        <v>1068</v>
      </c>
      <c r="Y215" s="1123">
        <f t="shared" ca="1" si="63"/>
        <v>0</v>
      </c>
      <c r="Z215" s="1126">
        <v>3</v>
      </c>
      <c r="AA215" s="1123">
        <f t="shared" ca="1" si="60"/>
        <v>0</v>
      </c>
      <c r="AB215" s="1125" t="str">
        <f t="shared" ca="1" si="62"/>
        <v>0-3-0</v>
      </c>
    </row>
    <row r="216" spans="1:28" ht="15" customHeight="1" x14ac:dyDescent="0.2">
      <c r="A216" s="130" t="s">
        <v>71</v>
      </c>
      <c r="B216" s="130" t="s">
        <v>99</v>
      </c>
      <c r="C216" s="130" t="s">
        <v>1069</v>
      </c>
      <c r="D216" s="1112" t="s">
        <v>1110</v>
      </c>
      <c r="E216" s="130">
        <v>3</v>
      </c>
      <c r="F216" s="100" t="str">
        <f t="shared" si="57"/>
        <v>RESPONSE-43</v>
      </c>
      <c r="G216" s="100">
        <f t="shared" si="58"/>
        <v>5</v>
      </c>
      <c r="H216" s="133" t="e">
        <f t="shared" ca="1" si="61"/>
        <v>#VALUE!</v>
      </c>
      <c r="I216" s="133">
        <f t="shared" ca="1" si="59"/>
        <v>0</v>
      </c>
      <c r="J216" s="136" t="s">
        <v>43</v>
      </c>
      <c r="W216" s="1121" t="str">
        <f ca="1">AB216&amp;"-"&amp;COUNTIF($AB$2:$AB216,$AB216)</f>
        <v>0-3-0-55</v>
      </c>
      <c r="X216" s="1121" t="s">
        <v>1069</v>
      </c>
      <c r="Y216" s="1123">
        <f t="shared" ca="1" si="63"/>
        <v>0</v>
      </c>
      <c r="Z216" s="1126">
        <v>3</v>
      </c>
      <c r="AA216" s="1123">
        <f t="shared" ca="1" si="60"/>
        <v>0</v>
      </c>
      <c r="AB216" s="1125" t="str">
        <f t="shared" ca="1" si="62"/>
        <v>0-3-0</v>
      </c>
    </row>
    <row r="217" spans="1:28" ht="15" customHeight="1" x14ac:dyDescent="0.2">
      <c r="A217" s="130" t="s">
        <v>71</v>
      </c>
      <c r="B217" s="130" t="s">
        <v>99</v>
      </c>
      <c r="C217" s="130" t="s">
        <v>1070</v>
      </c>
      <c r="D217" s="1112" t="s">
        <v>1111</v>
      </c>
      <c r="E217" s="130">
        <v>3</v>
      </c>
      <c r="F217" s="100" t="str">
        <f t="shared" si="57"/>
        <v>RESPONSE-43</v>
      </c>
      <c r="G217" s="100">
        <f t="shared" si="58"/>
        <v>5</v>
      </c>
      <c r="H217" s="133" t="e">
        <f t="shared" ca="1" si="61"/>
        <v>#VALUE!</v>
      </c>
      <c r="I217" s="133">
        <f t="shared" ca="1" si="59"/>
        <v>0</v>
      </c>
      <c r="J217" s="136" t="s">
        <v>45</v>
      </c>
      <c r="W217" s="1121" t="str">
        <f ca="1">AB217&amp;"-"&amp;COUNTIF($AB$2:$AB217,$AB217)</f>
        <v>0-3-0-56</v>
      </c>
      <c r="X217" s="1121" t="s">
        <v>1070</v>
      </c>
      <c r="Y217" s="1123">
        <f t="shared" ca="1" si="63"/>
        <v>0</v>
      </c>
      <c r="Z217" s="1126">
        <v>3</v>
      </c>
      <c r="AA217" s="1123">
        <f t="shared" ca="1" si="60"/>
        <v>0</v>
      </c>
      <c r="AB217" s="1125" t="str">
        <f t="shared" ca="1" si="62"/>
        <v>0-3-0</v>
      </c>
    </row>
    <row r="218" spans="1:28" ht="15" customHeight="1" x14ac:dyDescent="0.2">
      <c r="A218" s="130" t="s">
        <v>71</v>
      </c>
      <c r="B218" s="130" t="s">
        <v>1112</v>
      </c>
      <c r="C218" s="130" t="s">
        <v>1071</v>
      </c>
      <c r="D218" s="1112" t="s">
        <v>140</v>
      </c>
      <c r="E218" s="130">
        <v>2</v>
      </c>
      <c r="F218" s="100" t="str">
        <f t="shared" si="57"/>
        <v>RESPONSE-52</v>
      </c>
      <c r="G218" s="100">
        <f t="shared" si="58"/>
        <v>2</v>
      </c>
      <c r="H218" s="133" t="e">
        <f t="shared" ca="1" si="61"/>
        <v>#VALUE!</v>
      </c>
      <c r="I218" s="133">
        <f t="shared" ca="1" si="59"/>
        <v>0</v>
      </c>
      <c r="J218" s="136" t="s">
        <v>47</v>
      </c>
      <c r="W218" s="1121" t="str">
        <f ca="1">AB218&amp;"-"&amp;COUNTIF($AB$2:$AB218,$AB218)</f>
        <v>1-2-0-12</v>
      </c>
      <c r="X218" s="1121" t="s">
        <v>1071</v>
      </c>
      <c r="Y218" s="1123">
        <f t="shared" ca="1" si="63"/>
        <v>1</v>
      </c>
      <c r="Z218" s="1126">
        <v>2</v>
      </c>
      <c r="AA218" s="1123">
        <f t="shared" ca="1" si="60"/>
        <v>0</v>
      </c>
      <c r="AB218" s="1125" t="str">
        <f t="shared" ca="1" si="62"/>
        <v>1-2-0</v>
      </c>
    </row>
    <row r="219" spans="1:28" ht="15" customHeight="1" x14ac:dyDescent="0.2">
      <c r="A219" s="130" t="s">
        <v>71</v>
      </c>
      <c r="B219" s="130" t="s">
        <v>1112</v>
      </c>
      <c r="C219" s="130" t="s">
        <v>1072</v>
      </c>
      <c r="D219" s="1112" t="s">
        <v>143</v>
      </c>
      <c r="E219" s="130">
        <v>2</v>
      </c>
      <c r="F219" s="100" t="str">
        <f t="shared" si="57"/>
        <v>RESPONSE-52</v>
      </c>
      <c r="G219" s="100">
        <f t="shared" si="58"/>
        <v>2</v>
      </c>
      <c r="H219" s="133" t="e">
        <f t="shared" ca="1" si="61"/>
        <v>#VALUE!</v>
      </c>
      <c r="I219" s="133">
        <f t="shared" ca="1" si="59"/>
        <v>0</v>
      </c>
      <c r="J219" s="136" t="s">
        <v>49</v>
      </c>
      <c r="W219" s="1121" t="str">
        <f ca="1">AB219&amp;"-"&amp;COUNTIF($AB$2:$AB219,$AB219)</f>
        <v>1-2-0-13</v>
      </c>
      <c r="X219" s="1121" t="s">
        <v>1072</v>
      </c>
      <c r="Y219" s="1123">
        <f t="shared" ca="1" si="63"/>
        <v>1</v>
      </c>
      <c r="Z219" s="1126">
        <v>2</v>
      </c>
      <c r="AA219" s="1123">
        <f t="shared" ca="1" si="60"/>
        <v>0</v>
      </c>
      <c r="AB219" s="1125" t="str">
        <f t="shared" ca="1" si="62"/>
        <v>1-2-0</v>
      </c>
    </row>
    <row r="220" spans="1:28" ht="15" customHeight="1" x14ac:dyDescent="0.2">
      <c r="A220" s="130" t="s">
        <v>71</v>
      </c>
      <c r="B220" s="130" t="s">
        <v>1112</v>
      </c>
      <c r="C220" s="130" t="s">
        <v>1073</v>
      </c>
      <c r="D220" s="1112" t="s">
        <v>146</v>
      </c>
      <c r="E220" s="130">
        <v>3</v>
      </c>
      <c r="F220" s="100" t="str">
        <f t="shared" si="57"/>
        <v>RESPONSE-53</v>
      </c>
      <c r="G220" s="100">
        <f t="shared" si="58"/>
        <v>4</v>
      </c>
      <c r="H220" s="133" t="e">
        <f t="shared" ca="1" si="61"/>
        <v>#VALUE!</v>
      </c>
      <c r="I220" s="133">
        <f t="shared" ca="1" si="59"/>
        <v>0</v>
      </c>
      <c r="J220" s="136" t="s">
        <v>51</v>
      </c>
      <c r="W220" s="1121" t="str">
        <f ca="1">AB220&amp;"-"&amp;COUNTIF($AB$2:$AB220,$AB220)</f>
        <v>1-3-0-22</v>
      </c>
      <c r="X220" s="1121" t="s">
        <v>1073</v>
      </c>
      <c r="Y220" s="1123">
        <f t="shared" ca="1" si="63"/>
        <v>1</v>
      </c>
      <c r="Z220" s="1126">
        <v>3</v>
      </c>
      <c r="AA220" s="1123">
        <f t="shared" ca="1" si="60"/>
        <v>0</v>
      </c>
      <c r="AB220" s="1125" t="str">
        <f t="shared" ca="1" si="62"/>
        <v>1-3-0</v>
      </c>
    </row>
    <row r="221" spans="1:28" ht="15" customHeight="1" x14ac:dyDescent="0.2">
      <c r="A221" s="130" t="s">
        <v>71</v>
      </c>
      <c r="B221" s="130" t="s">
        <v>1112</v>
      </c>
      <c r="C221" s="130" t="s">
        <v>1074</v>
      </c>
      <c r="D221" s="1112" t="s">
        <v>149</v>
      </c>
      <c r="E221" s="130">
        <v>3</v>
      </c>
      <c r="F221" s="100" t="str">
        <f t="shared" si="57"/>
        <v>RESPONSE-53</v>
      </c>
      <c r="G221" s="100">
        <f t="shared" si="58"/>
        <v>4</v>
      </c>
      <c r="H221" s="133" t="e">
        <f t="shared" ca="1" si="61"/>
        <v>#VALUE!</v>
      </c>
      <c r="I221" s="133">
        <f t="shared" ca="1" si="59"/>
        <v>0</v>
      </c>
      <c r="J221" s="136" t="s">
        <v>53</v>
      </c>
      <c r="W221" s="1121" t="str">
        <f ca="1">AB221&amp;"-"&amp;COUNTIF($AB$2:$AB221,$AB221)</f>
        <v>1-3-0-23</v>
      </c>
      <c r="X221" s="1121" t="s">
        <v>1074</v>
      </c>
      <c r="Y221" s="1123">
        <f t="shared" ca="1" si="63"/>
        <v>1</v>
      </c>
      <c r="Z221" s="1126">
        <v>3</v>
      </c>
      <c r="AA221" s="1123">
        <f t="shared" ca="1" si="60"/>
        <v>0</v>
      </c>
      <c r="AB221" s="1125" t="str">
        <f t="shared" ca="1" si="62"/>
        <v>1-3-0</v>
      </c>
    </row>
    <row r="222" spans="1:28" ht="15" customHeight="1" x14ac:dyDescent="0.2">
      <c r="A222" s="130" t="s">
        <v>71</v>
      </c>
      <c r="B222" s="130" t="s">
        <v>1112</v>
      </c>
      <c r="C222" s="130" t="s">
        <v>1075</v>
      </c>
      <c r="D222" s="1112" t="s">
        <v>151</v>
      </c>
      <c r="E222" s="130">
        <v>3</v>
      </c>
      <c r="F222" s="100" t="str">
        <f t="shared" si="57"/>
        <v>RESPONSE-53</v>
      </c>
      <c r="G222" s="100">
        <f t="shared" si="58"/>
        <v>4</v>
      </c>
      <c r="H222" s="133" t="e">
        <f t="shared" ca="1" si="61"/>
        <v>#VALUE!</v>
      </c>
      <c r="I222" s="133">
        <f t="shared" ca="1" si="59"/>
        <v>0</v>
      </c>
      <c r="J222" s="136" t="s">
        <v>55</v>
      </c>
      <c r="W222" s="1121" t="str">
        <f ca="1">AB222&amp;"-"&amp;COUNTIF($AB$2:$AB222,$AB222)</f>
        <v>1-3-0-24</v>
      </c>
      <c r="X222" s="1121" t="s">
        <v>1075</v>
      </c>
      <c r="Y222" s="1123">
        <f t="shared" ca="1" si="63"/>
        <v>1</v>
      </c>
      <c r="Z222" s="1126">
        <v>3</v>
      </c>
      <c r="AA222" s="1123">
        <f t="shared" ca="1" si="60"/>
        <v>0</v>
      </c>
      <c r="AB222" s="1125" t="str">
        <f t="shared" ca="1" si="62"/>
        <v>1-3-0</v>
      </c>
    </row>
    <row r="223" spans="1:28" ht="15" customHeight="1" x14ac:dyDescent="0.2">
      <c r="A223" s="130" t="s">
        <v>71</v>
      </c>
      <c r="B223" s="130" t="s">
        <v>1112</v>
      </c>
      <c r="C223" s="130" t="s">
        <v>1076</v>
      </c>
      <c r="D223" s="1112" t="s">
        <v>153</v>
      </c>
      <c r="E223" s="130">
        <v>3</v>
      </c>
      <c r="F223" s="100" t="str">
        <f t="shared" si="57"/>
        <v>RESPONSE-53</v>
      </c>
      <c r="G223" s="100">
        <f t="shared" si="58"/>
        <v>4</v>
      </c>
      <c r="H223" s="133" t="e">
        <f t="shared" ca="1" si="61"/>
        <v>#VALUE!</v>
      </c>
      <c r="I223" s="133">
        <f t="shared" ca="1" si="59"/>
        <v>0</v>
      </c>
      <c r="J223" s="136" t="s">
        <v>58</v>
      </c>
      <c r="W223" s="1121" t="str">
        <f ca="1">AB223&amp;"-"&amp;COUNTIF($AB$2:$AB223,$AB223)</f>
        <v>1-3-0-25</v>
      </c>
      <c r="X223" s="1121" t="s">
        <v>1076</v>
      </c>
      <c r="Y223" s="1123">
        <f t="shared" ca="1" si="63"/>
        <v>1</v>
      </c>
      <c r="Z223" s="1126">
        <v>3</v>
      </c>
      <c r="AA223" s="1123">
        <f t="shared" ca="1" si="60"/>
        <v>0</v>
      </c>
      <c r="AB223" s="1125" t="str">
        <f t="shared" ca="1" si="62"/>
        <v>1-3-0</v>
      </c>
    </row>
    <row r="224" spans="1:28" ht="15" customHeight="1" x14ac:dyDescent="0.2">
      <c r="A224" s="417" t="s">
        <v>0</v>
      </c>
      <c r="B224" s="417" t="s">
        <v>40</v>
      </c>
      <c r="C224" s="417" t="s">
        <v>41</v>
      </c>
      <c r="D224" s="1111" t="s">
        <v>5</v>
      </c>
      <c r="E224" s="417">
        <v>1</v>
      </c>
      <c r="F224" s="100" t="str">
        <f t="shared" si="57"/>
        <v>RISK-11</v>
      </c>
      <c r="G224" s="100">
        <f t="shared" si="58"/>
        <v>1</v>
      </c>
      <c r="H224" s="133" t="e">
        <f t="shared" ca="1" si="61"/>
        <v>#VALUE!</v>
      </c>
      <c r="I224" s="133">
        <f t="shared" ca="1" si="59"/>
        <v>0</v>
      </c>
      <c r="J224" s="136" t="s">
        <v>60</v>
      </c>
      <c r="W224" s="1121" t="str">
        <f ca="1">AB224&amp;"-"&amp;COUNTIF($AB$2:$AB224,$AB224)</f>
        <v>0-1-0-40</v>
      </c>
      <c r="X224" s="1121" t="s">
        <v>41</v>
      </c>
      <c r="Y224" s="1123">
        <f t="shared" ca="1" si="63"/>
        <v>0</v>
      </c>
      <c r="Z224" s="1126">
        <v>1</v>
      </c>
      <c r="AA224" s="1123">
        <f t="shared" ca="1" si="60"/>
        <v>0</v>
      </c>
      <c r="AB224" s="1125" t="str">
        <f t="shared" ca="1" si="62"/>
        <v>0-1-0</v>
      </c>
    </row>
    <row r="225" spans="1:28" ht="15" customHeight="1" x14ac:dyDescent="0.2">
      <c r="A225" s="417" t="s">
        <v>0</v>
      </c>
      <c r="B225" s="417" t="s">
        <v>40</v>
      </c>
      <c r="C225" s="417" t="s">
        <v>42</v>
      </c>
      <c r="D225" s="1111" t="s">
        <v>7</v>
      </c>
      <c r="E225" s="417">
        <v>2</v>
      </c>
      <c r="F225" s="100" t="str">
        <f t="shared" si="57"/>
        <v>RISK-12</v>
      </c>
      <c r="G225" s="100">
        <f t="shared" si="58"/>
        <v>3</v>
      </c>
      <c r="H225" s="133" t="e">
        <f t="shared" ca="1" si="61"/>
        <v>#VALUE!</v>
      </c>
      <c r="I225" s="133">
        <f t="shared" ca="1" si="59"/>
        <v>0</v>
      </c>
      <c r="J225" s="136" t="s">
        <v>62</v>
      </c>
      <c r="W225" s="1121" t="str">
        <f ca="1">AB225&amp;"-"&amp;COUNTIF($AB$2:$AB225,$AB225)</f>
        <v>0-2-0-90</v>
      </c>
      <c r="X225" s="1121" t="s">
        <v>42</v>
      </c>
      <c r="Y225" s="1123">
        <f t="shared" ca="1" si="63"/>
        <v>0</v>
      </c>
      <c r="Z225" s="1126">
        <v>2</v>
      </c>
      <c r="AA225" s="1123">
        <f t="shared" ca="1" si="60"/>
        <v>0</v>
      </c>
      <c r="AB225" s="1125" t="str">
        <f t="shared" ca="1" si="62"/>
        <v>0-2-0</v>
      </c>
    </row>
    <row r="226" spans="1:28" ht="15" customHeight="1" x14ac:dyDescent="0.2">
      <c r="A226" s="417" t="s">
        <v>0</v>
      </c>
      <c r="B226" s="417" t="s">
        <v>40</v>
      </c>
      <c r="C226" s="417" t="s">
        <v>43</v>
      </c>
      <c r="D226" s="1111" t="s">
        <v>8</v>
      </c>
      <c r="E226" s="417">
        <v>2</v>
      </c>
      <c r="F226" s="100" t="str">
        <f t="shared" si="57"/>
        <v>RISK-12</v>
      </c>
      <c r="G226" s="100">
        <f t="shared" si="58"/>
        <v>3</v>
      </c>
      <c r="H226" s="133" t="e">
        <f t="shared" ca="1" si="61"/>
        <v>#VALUE!</v>
      </c>
      <c r="I226" s="133">
        <f t="shared" ca="1" si="59"/>
        <v>0</v>
      </c>
      <c r="J226" s="136" t="s">
        <v>64</v>
      </c>
      <c r="W226" s="1121" t="str">
        <f ca="1">AB226&amp;"-"&amp;COUNTIF($AB$2:$AB226,$AB226)</f>
        <v>0-2-0-91</v>
      </c>
      <c r="X226" s="1121" t="s">
        <v>43</v>
      </c>
      <c r="Y226" s="1123">
        <f t="shared" ca="1" si="63"/>
        <v>0</v>
      </c>
      <c r="Z226" s="1126">
        <v>2</v>
      </c>
      <c r="AA226" s="1123">
        <f t="shared" ca="1" si="60"/>
        <v>0</v>
      </c>
      <c r="AB226" s="1125" t="str">
        <f t="shared" ca="1" si="62"/>
        <v>0-2-0</v>
      </c>
    </row>
    <row r="227" spans="1:28" ht="15" customHeight="1" x14ac:dyDescent="0.2">
      <c r="A227" s="417" t="s">
        <v>0</v>
      </c>
      <c r="B227" s="417" t="s">
        <v>40</v>
      </c>
      <c r="C227" s="417" t="s">
        <v>45</v>
      </c>
      <c r="D227" s="1111" t="s">
        <v>9</v>
      </c>
      <c r="E227" s="417">
        <v>2</v>
      </c>
      <c r="F227" s="100" t="str">
        <f t="shared" si="57"/>
        <v>RISK-12</v>
      </c>
      <c r="G227" s="100">
        <f t="shared" si="58"/>
        <v>3</v>
      </c>
      <c r="H227" s="133" t="e">
        <f t="shared" ca="1" si="61"/>
        <v>#VALUE!</v>
      </c>
      <c r="I227" s="133">
        <f t="shared" ca="1" si="59"/>
        <v>0</v>
      </c>
      <c r="J227" s="136" t="s">
        <v>67</v>
      </c>
      <c r="W227" s="1121" t="str">
        <f ca="1">AB227&amp;"-"&amp;COUNTIF($AB$2:$AB227,$AB227)</f>
        <v>0-2-0-92</v>
      </c>
      <c r="X227" s="1121" t="s">
        <v>45</v>
      </c>
      <c r="Y227" s="1123">
        <f t="shared" ca="1" si="63"/>
        <v>0</v>
      </c>
      <c r="Z227" s="1126">
        <v>2</v>
      </c>
      <c r="AA227" s="1123">
        <f t="shared" ca="1" si="60"/>
        <v>0</v>
      </c>
      <c r="AB227" s="1125" t="str">
        <f t="shared" ca="1" si="62"/>
        <v>0-2-0</v>
      </c>
    </row>
    <row r="228" spans="1:28" ht="15" customHeight="1" x14ac:dyDescent="0.2">
      <c r="A228" s="417" t="s">
        <v>0</v>
      </c>
      <c r="B228" s="417" t="s">
        <v>40</v>
      </c>
      <c r="C228" s="417" t="s">
        <v>47</v>
      </c>
      <c r="D228" s="1111" t="s">
        <v>10</v>
      </c>
      <c r="E228" s="417">
        <v>3</v>
      </c>
      <c r="F228" s="100" t="str">
        <f t="shared" si="57"/>
        <v>RISK-13</v>
      </c>
      <c r="G228" s="100">
        <f t="shared" si="58"/>
        <v>2</v>
      </c>
      <c r="H228" s="133" t="e">
        <f t="shared" ca="1" si="61"/>
        <v>#VALUE!</v>
      </c>
      <c r="I228" s="133">
        <f t="shared" ca="1" si="59"/>
        <v>0</v>
      </c>
      <c r="J228" s="136" t="s">
        <v>70</v>
      </c>
      <c r="W228" s="1121" t="str">
        <f ca="1">AB228&amp;"-"&amp;COUNTIF($AB$2:$AB228,$AB228)</f>
        <v>0-3-0-57</v>
      </c>
      <c r="X228" s="1121" t="s">
        <v>47</v>
      </c>
      <c r="Y228" s="1123">
        <f t="shared" ca="1" si="63"/>
        <v>0</v>
      </c>
      <c r="Z228" s="1126">
        <v>3</v>
      </c>
      <c r="AA228" s="1123">
        <f t="shared" ca="1" si="60"/>
        <v>0</v>
      </c>
      <c r="AB228" s="1125" t="str">
        <f t="shared" ca="1" si="62"/>
        <v>0-3-0</v>
      </c>
    </row>
    <row r="229" spans="1:28" ht="15" customHeight="1" x14ac:dyDescent="0.2">
      <c r="A229" s="417" t="s">
        <v>0</v>
      </c>
      <c r="B229" s="417" t="s">
        <v>40</v>
      </c>
      <c r="C229" s="417" t="s">
        <v>49</v>
      </c>
      <c r="D229" s="1111" t="s">
        <v>11</v>
      </c>
      <c r="E229" s="417">
        <v>3</v>
      </c>
      <c r="F229" s="100" t="str">
        <f t="shared" si="57"/>
        <v>RISK-13</v>
      </c>
      <c r="G229" s="100">
        <f t="shared" si="58"/>
        <v>2</v>
      </c>
      <c r="H229" s="133" t="e">
        <f t="shared" ca="1" si="61"/>
        <v>#VALUE!</v>
      </c>
      <c r="I229" s="133">
        <f t="shared" ca="1" si="59"/>
        <v>0</v>
      </c>
      <c r="J229" s="136" t="s">
        <v>72</v>
      </c>
      <c r="W229" s="1121" t="str">
        <f ca="1">AB229&amp;"-"&amp;COUNTIF($AB$2:$AB229,$AB229)</f>
        <v>0-3-0-58</v>
      </c>
      <c r="X229" s="1121" t="s">
        <v>49</v>
      </c>
      <c r="Y229" s="1123">
        <f t="shared" ca="1" si="63"/>
        <v>0</v>
      </c>
      <c r="Z229" s="1126">
        <v>3</v>
      </c>
      <c r="AA229" s="1123">
        <f t="shared" ca="1" si="60"/>
        <v>0</v>
      </c>
      <c r="AB229" s="1125" t="str">
        <f t="shared" ca="1" si="62"/>
        <v>0-3-0</v>
      </c>
    </row>
    <row r="230" spans="1:28" ht="15" customHeight="1" x14ac:dyDescent="0.2">
      <c r="A230" s="417" t="s">
        <v>0</v>
      </c>
      <c r="B230" s="417" t="s">
        <v>44</v>
      </c>
      <c r="C230" s="417" t="s">
        <v>60</v>
      </c>
      <c r="D230" s="1111" t="s">
        <v>17</v>
      </c>
      <c r="E230" s="417">
        <v>1</v>
      </c>
      <c r="F230" s="100" t="str">
        <f t="shared" si="57"/>
        <v>RISK-21</v>
      </c>
      <c r="G230" s="100">
        <f t="shared" si="58"/>
        <v>1</v>
      </c>
      <c r="H230" s="133" t="e">
        <f t="shared" ca="1" si="61"/>
        <v>#VALUE!</v>
      </c>
      <c r="I230" s="133">
        <f t="shared" ca="1" si="59"/>
        <v>0</v>
      </c>
      <c r="J230" s="136" t="s">
        <v>75</v>
      </c>
      <c r="W230" s="1121" t="str">
        <f ca="1">AB230&amp;"-"&amp;COUNTIF($AB$2:$AB230,$AB230)</f>
        <v>0-1-0-41</v>
      </c>
      <c r="X230" s="1121" t="s">
        <v>60</v>
      </c>
      <c r="Y230" s="1123">
        <f t="shared" ca="1" si="63"/>
        <v>0</v>
      </c>
      <c r="Z230" s="1126">
        <v>1</v>
      </c>
      <c r="AA230" s="1123">
        <f t="shared" ca="1" si="60"/>
        <v>0</v>
      </c>
      <c r="AB230" s="1125" t="str">
        <f t="shared" ca="1" si="62"/>
        <v>0-1-0</v>
      </c>
    </row>
    <row r="231" spans="1:28" ht="15" customHeight="1" x14ac:dyDescent="0.2">
      <c r="A231" s="417" t="s">
        <v>0</v>
      </c>
      <c r="B231" s="417" t="s">
        <v>44</v>
      </c>
      <c r="C231" s="417" t="s">
        <v>62</v>
      </c>
      <c r="D231" s="1111" t="s">
        <v>18</v>
      </c>
      <c r="E231" s="417">
        <v>2</v>
      </c>
      <c r="F231" s="100" t="str">
        <f t="shared" si="57"/>
        <v>RISK-22</v>
      </c>
      <c r="G231" s="100">
        <f t="shared" si="58"/>
        <v>6</v>
      </c>
      <c r="H231" s="133" t="e">
        <f t="shared" ca="1" si="61"/>
        <v>#VALUE!</v>
      </c>
      <c r="I231" s="133">
        <f t="shared" ca="1" si="59"/>
        <v>0</v>
      </c>
      <c r="J231" s="136" t="s">
        <v>78</v>
      </c>
      <c r="W231" s="1121" t="str">
        <f ca="1">AB231&amp;"-"&amp;COUNTIF($AB$2:$AB231,$AB231)</f>
        <v>0-2-0-93</v>
      </c>
      <c r="X231" s="1121" t="s">
        <v>62</v>
      </c>
      <c r="Y231" s="1123">
        <f t="shared" ca="1" si="63"/>
        <v>0</v>
      </c>
      <c r="Z231" s="1126">
        <v>2</v>
      </c>
      <c r="AA231" s="1123">
        <f t="shared" ca="1" si="60"/>
        <v>0</v>
      </c>
      <c r="AB231" s="1125" t="str">
        <f t="shared" ca="1" si="62"/>
        <v>0-2-0</v>
      </c>
    </row>
    <row r="232" spans="1:28" ht="15" customHeight="1" x14ac:dyDescent="0.2">
      <c r="A232" s="417" t="s">
        <v>0</v>
      </c>
      <c r="B232" s="417" t="s">
        <v>44</v>
      </c>
      <c r="C232" s="417" t="s">
        <v>64</v>
      </c>
      <c r="D232" s="1111" t="s">
        <v>19</v>
      </c>
      <c r="E232" s="417">
        <v>2</v>
      </c>
      <c r="F232" s="100" t="str">
        <f t="shared" si="57"/>
        <v>RISK-22</v>
      </c>
      <c r="G232" s="100">
        <f t="shared" si="58"/>
        <v>6</v>
      </c>
      <c r="H232" s="133" t="e">
        <f t="shared" ca="1" si="61"/>
        <v>#VALUE!</v>
      </c>
      <c r="I232" s="133">
        <f t="shared" ca="1" si="59"/>
        <v>0</v>
      </c>
      <c r="J232" s="136" t="s">
        <v>81</v>
      </c>
      <c r="W232" s="1121" t="str">
        <f ca="1">AB232&amp;"-"&amp;COUNTIF($AB$2:$AB232,$AB232)</f>
        <v>0-2-0-94</v>
      </c>
      <c r="X232" s="1121" t="s">
        <v>64</v>
      </c>
      <c r="Y232" s="1123">
        <f t="shared" ca="1" si="63"/>
        <v>0</v>
      </c>
      <c r="Z232" s="1126">
        <v>2</v>
      </c>
      <c r="AA232" s="1123">
        <f t="shared" ca="1" si="60"/>
        <v>0</v>
      </c>
      <c r="AB232" s="1125" t="str">
        <f t="shared" ca="1" si="62"/>
        <v>0-2-0</v>
      </c>
    </row>
    <row r="233" spans="1:28" ht="15" customHeight="1" x14ac:dyDescent="0.2">
      <c r="A233" s="417" t="s">
        <v>0</v>
      </c>
      <c r="B233" s="417" t="s">
        <v>44</v>
      </c>
      <c r="C233" s="417" t="s">
        <v>67</v>
      </c>
      <c r="D233" s="1111" t="s">
        <v>20</v>
      </c>
      <c r="E233" s="417">
        <v>2</v>
      </c>
      <c r="F233" s="100" t="str">
        <f t="shared" si="57"/>
        <v>RISK-22</v>
      </c>
      <c r="G233" s="100">
        <f t="shared" si="58"/>
        <v>6</v>
      </c>
      <c r="H233" s="133" t="e">
        <f t="shared" ca="1" si="61"/>
        <v>#VALUE!</v>
      </c>
      <c r="I233" s="133">
        <f t="shared" ca="1" si="59"/>
        <v>0</v>
      </c>
      <c r="J233" s="136" t="s">
        <v>83</v>
      </c>
      <c r="W233" s="1121" t="str">
        <f ca="1">AB233&amp;"-"&amp;COUNTIF($AB$2:$AB233,$AB233)</f>
        <v>0-2-0-95</v>
      </c>
      <c r="X233" s="1121" t="s">
        <v>67</v>
      </c>
      <c r="Y233" s="1123">
        <f t="shared" ca="1" si="63"/>
        <v>0</v>
      </c>
      <c r="Z233" s="1126">
        <v>2</v>
      </c>
      <c r="AA233" s="1123">
        <f t="shared" ca="1" si="60"/>
        <v>0</v>
      </c>
      <c r="AB233" s="1125" t="str">
        <f t="shared" ca="1" si="62"/>
        <v>0-2-0</v>
      </c>
    </row>
    <row r="234" spans="1:28" ht="15" customHeight="1" x14ac:dyDescent="0.2">
      <c r="A234" s="417" t="s">
        <v>0</v>
      </c>
      <c r="B234" s="417" t="s">
        <v>44</v>
      </c>
      <c r="C234" s="417" t="s">
        <v>70</v>
      </c>
      <c r="D234" s="1111" t="s">
        <v>21</v>
      </c>
      <c r="E234" s="417">
        <v>2</v>
      </c>
      <c r="F234" s="100" t="str">
        <f t="shared" si="57"/>
        <v>RISK-22</v>
      </c>
      <c r="G234" s="100">
        <f t="shared" si="58"/>
        <v>6</v>
      </c>
      <c r="H234" s="133" t="e">
        <f t="shared" ca="1" si="61"/>
        <v>#VALUE!</v>
      </c>
      <c r="I234" s="133">
        <f t="shared" ca="1" si="59"/>
        <v>0</v>
      </c>
      <c r="J234" s="136" t="s">
        <v>85</v>
      </c>
      <c r="W234" s="1121" t="str">
        <f ca="1">AB234&amp;"-"&amp;COUNTIF($AB$2:$AB234,$AB234)</f>
        <v>0-2-0-96</v>
      </c>
      <c r="X234" s="1121" t="s">
        <v>70</v>
      </c>
      <c r="Y234" s="1123">
        <f t="shared" ca="1" si="63"/>
        <v>0</v>
      </c>
      <c r="Z234" s="1126">
        <v>2</v>
      </c>
      <c r="AA234" s="1123">
        <f t="shared" ca="1" si="60"/>
        <v>0</v>
      </c>
      <c r="AB234" s="1125" t="str">
        <f t="shared" ca="1" si="62"/>
        <v>0-2-0</v>
      </c>
    </row>
    <row r="235" spans="1:28" ht="15" customHeight="1" x14ac:dyDescent="0.2">
      <c r="A235" s="417" t="s">
        <v>0</v>
      </c>
      <c r="B235" s="417" t="s">
        <v>44</v>
      </c>
      <c r="C235" s="417" t="s">
        <v>1031</v>
      </c>
      <c r="D235" s="1111" t="s">
        <v>109</v>
      </c>
      <c r="E235" s="417">
        <v>2</v>
      </c>
      <c r="F235" s="100" t="str">
        <f t="shared" si="57"/>
        <v>RISK-22</v>
      </c>
      <c r="G235" s="100">
        <f t="shared" si="58"/>
        <v>6</v>
      </c>
      <c r="H235" s="133" t="e">
        <f t="shared" ca="1" si="61"/>
        <v>#VALUE!</v>
      </c>
      <c r="I235" s="133">
        <f t="shared" ca="1" si="59"/>
        <v>0</v>
      </c>
      <c r="J235" s="136" t="s">
        <v>87</v>
      </c>
      <c r="W235" s="1121" t="str">
        <f ca="1">AB235&amp;"-"&amp;COUNTIF($AB$2:$AB235,$AB235)</f>
        <v>0-2-0-97</v>
      </c>
      <c r="X235" s="1121" t="s">
        <v>1031</v>
      </c>
      <c r="Y235" s="1123">
        <f t="shared" ca="1" si="63"/>
        <v>0</v>
      </c>
      <c r="Z235" s="1126">
        <v>2</v>
      </c>
      <c r="AA235" s="1123">
        <f t="shared" ca="1" si="60"/>
        <v>0</v>
      </c>
      <c r="AB235" s="1125" t="str">
        <f t="shared" ca="1" si="62"/>
        <v>0-2-0</v>
      </c>
    </row>
    <row r="236" spans="1:28" ht="15" customHeight="1" x14ac:dyDescent="0.2">
      <c r="A236" s="417" t="s">
        <v>0</v>
      </c>
      <c r="B236" s="417" t="s">
        <v>44</v>
      </c>
      <c r="C236" s="417" t="s">
        <v>1032</v>
      </c>
      <c r="D236" s="1111" t="s">
        <v>173</v>
      </c>
      <c r="E236" s="417">
        <v>2</v>
      </c>
      <c r="F236" s="100" t="str">
        <f t="shared" si="57"/>
        <v>RISK-22</v>
      </c>
      <c r="G236" s="100">
        <f t="shared" si="58"/>
        <v>6</v>
      </c>
      <c r="H236" s="133" t="e">
        <f t="shared" ca="1" si="61"/>
        <v>#VALUE!</v>
      </c>
      <c r="I236" s="133">
        <f t="shared" ca="1" si="59"/>
        <v>0</v>
      </c>
      <c r="J236" s="136" t="s">
        <v>222</v>
      </c>
      <c r="W236" s="1121" t="str">
        <f ca="1">AB236&amp;"-"&amp;COUNTIF($AB$2:$AB236,$AB236)</f>
        <v>0-2-0-98</v>
      </c>
      <c r="X236" s="1121" t="s">
        <v>1032</v>
      </c>
      <c r="Y236" s="1123">
        <f t="shared" ca="1" si="63"/>
        <v>0</v>
      </c>
      <c r="Z236" s="1126">
        <v>2</v>
      </c>
      <c r="AA236" s="1123">
        <f t="shared" ca="1" si="60"/>
        <v>0</v>
      </c>
      <c r="AB236" s="1125" t="str">
        <f t="shared" ca="1" si="62"/>
        <v>0-2-0</v>
      </c>
    </row>
    <row r="237" spans="1:28" ht="15" customHeight="1" x14ac:dyDescent="0.2">
      <c r="A237" s="417" t="s">
        <v>0</v>
      </c>
      <c r="B237" s="417" t="s">
        <v>44</v>
      </c>
      <c r="C237" s="417" t="s">
        <v>1033</v>
      </c>
      <c r="D237" s="1111" t="s">
        <v>175</v>
      </c>
      <c r="E237" s="417">
        <v>3</v>
      </c>
      <c r="F237" s="100" t="str">
        <f t="shared" si="57"/>
        <v>RISK-23</v>
      </c>
      <c r="G237" s="100">
        <f t="shared" si="58"/>
        <v>6</v>
      </c>
      <c r="H237" s="133" t="e">
        <f t="shared" ca="1" si="61"/>
        <v>#VALUE!</v>
      </c>
      <c r="I237" s="133">
        <f t="shared" ca="1" si="59"/>
        <v>0</v>
      </c>
      <c r="J237" s="136" t="s">
        <v>223</v>
      </c>
      <c r="W237" s="1121" t="str">
        <f ca="1">AB237&amp;"-"&amp;COUNTIF($AB$2:$AB237,$AB237)</f>
        <v>0-3-0-59</v>
      </c>
      <c r="X237" s="1121" t="s">
        <v>1033</v>
      </c>
      <c r="Y237" s="1123">
        <f t="shared" ca="1" si="63"/>
        <v>0</v>
      </c>
      <c r="Z237" s="1126">
        <v>3</v>
      </c>
      <c r="AA237" s="1123">
        <f t="shared" ca="1" si="60"/>
        <v>0</v>
      </c>
      <c r="AB237" s="1125" t="str">
        <f t="shared" ca="1" si="62"/>
        <v>0-3-0</v>
      </c>
    </row>
    <row r="238" spans="1:28" ht="15" customHeight="1" x14ac:dyDescent="0.2">
      <c r="A238" s="417" t="s">
        <v>0</v>
      </c>
      <c r="B238" s="417" t="s">
        <v>44</v>
      </c>
      <c r="C238" s="417" t="s">
        <v>1034</v>
      </c>
      <c r="D238" s="1111" t="s">
        <v>206</v>
      </c>
      <c r="E238" s="417">
        <v>3</v>
      </c>
      <c r="F238" s="100" t="str">
        <f t="shared" si="57"/>
        <v>RISK-23</v>
      </c>
      <c r="G238" s="100">
        <f t="shared" si="58"/>
        <v>6</v>
      </c>
      <c r="H238" s="133" t="e">
        <f t="shared" ca="1" si="61"/>
        <v>#VALUE!</v>
      </c>
      <c r="I238" s="133">
        <f t="shared" ca="1" si="59"/>
        <v>0</v>
      </c>
      <c r="J238" s="136" t="s">
        <v>224</v>
      </c>
      <c r="W238" s="1121" t="str">
        <f ca="1">AB238&amp;"-"&amp;COUNTIF($AB$2:$AB238,$AB238)</f>
        <v>0-3-0-60</v>
      </c>
      <c r="X238" s="1121" t="s">
        <v>1034</v>
      </c>
      <c r="Y238" s="1123">
        <f t="shared" ca="1" si="63"/>
        <v>0</v>
      </c>
      <c r="Z238" s="1126">
        <v>3</v>
      </c>
      <c r="AA238" s="1123">
        <f t="shared" ca="1" si="60"/>
        <v>0</v>
      </c>
      <c r="AB238" s="1125" t="str">
        <f t="shared" ca="1" si="62"/>
        <v>0-3-0</v>
      </c>
    </row>
    <row r="239" spans="1:28" ht="15" customHeight="1" x14ac:dyDescent="0.2">
      <c r="A239" s="417" t="s">
        <v>0</v>
      </c>
      <c r="B239" s="417" t="s">
        <v>44</v>
      </c>
      <c r="C239" s="417" t="s">
        <v>1035</v>
      </c>
      <c r="D239" s="1111" t="s">
        <v>208</v>
      </c>
      <c r="E239" s="417">
        <v>3</v>
      </c>
      <c r="F239" s="100" t="str">
        <f t="shared" si="57"/>
        <v>RISK-23</v>
      </c>
      <c r="G239" s="100">
        <f t="shared" si="58"/>
        <v>6</v>
      </c>
      <c r="H239" s="133" t="e">
        <f t="shared" ca="1" si="61"/>
        <v>#VALUE!</v>
      </c>
      <c r="I239" s="133">
        <f t="shared" ca="1" si="59"/>
        <v>0</v>
      </c>
      <c r="J239" s="136" t="s">
        <v>225</v>
      </c>
      <c r="W239" s="1121" t="str">
        <f ca="1">AB239&amp;"-"&amp;COUNTIF($AB$2:$AB239,$AB239)</f>
        <v>0-3-0-61</v>
      </c>
      <c r="X239" s="1121" t="s">
        <v>1035</v>
      </c>
      <c r="Y239" s="1123">
        <f t="shared" ca="1" si="63"/>
        <v>0</v>
      </c>
      <c r="Z239" s="1126">
        <v>3</v>
      </c>
      <c r="AA239" s="1123">
        <f t="shared" ca="1" si="60"/>
        <v>0</v>
      </c>
      <c r="AB239" s="1125" t="str">
        <f t="shared" ca="1" si="62"/>
        <v>0-3-0</v>
      </c>
    </row>
    <row r="240" spans="1:28" ht="15" customHeight="1" x14ac:dyDescent="0.2">
      <c r="A240" s="417" t="s">
        <v>0</v>
      </c>
      <c r="B240" s="417" t="s">
        <v>44</v>
      </c>
      <c r="C240" s="417" t="s">
        <v>1036</v>
      </c>
      <c r="D240" s="1111" t="s">
        <v>210</v>
      </c>
      <c r="E240" s="417">
        <v>3</v>
      </c>
      <c r="F240" s="100" t="str">
        <f t="shared" si="57"/>
        <v>RISK-23</v>
      </c>
      <c r="G240" s="100">
        <f t="shared" si="58"/>
        <v>6</v>
      </c>
      <c r="H240" s="133" t="e">
        <f t="shared" ca="1" si="61"/>
        <v>#VALUE!</v>
      </c>
      <c r="I240" s="133">
        <f t="shared" ca="1" si="59"/>
        <v>0</v>
      </c>
      <c r="J240" s="136" t="s">
        <v>226</v>
      </c>
      <c r="W240" s="1121" t="str">
        <f ca="1">AB240&amp;"-"&amp;COUNTIF($AB$2:$AB240,$AB240)</f>
        <v>0-3-0-62</v>
      </c>
      <c r="X240" s="1121" t="s">
        <v>1036</v>
      </c>
      <c r="Y240" s="1123">
        <f t="shared" ca="1" si="63"/>
        <v>0</v>
      </c>
      <c r="Z240" s="1126">
        <v>3</v>
      </c>
      <c r="AA240" s="1123">
        <f t="shared" ca="1" si="60"/>
        <v>0</v>
      </c>
      <c r="AB240" s="1125" t="str">
        <f t="shared" ca="1" si="62"/>
        <v>0-3-0</v>
      </c>
    </row>
    <row r="241" spans="1:28" ht="15" customHeight="1" x14ac:dyDescent="0.2">
      <c r="A241" s="417" t="s">
        <v>0</v>
      </c>
      <c r="B241" s="417" t="s">
        <v>44</v>
      </c>
      <c r="C241" s="417" t="s">
        <v>1037</v>
      </c>
      <c r="D241" s="1111" t="s">
        <v>212</v>
      </c>
      <c r="E241" s="417">
        <v>3</v>
      </c>
      <c r="F241" s="100" t="str">
        <f t="shared" si="57"/>
        <v>RISK-23</v>
      </c>
      <c r="G241" s="100">
        <f t="shared" si="58"/>
        <v>6</v>
      </c>
      <c r="H241" s="133" t="e">
        <f t="shared" ca="1" si="61"/>
        <v>#VALUE!</v>
      </c>
      <c r="I241" s="133">
        <f t="shared" ca="1" si="59"/>
        <v>0</v>
      </c>
      <c r="J241" s="136" t="s">
        <v>227</v>
      </c>
      <c r="W241" s="1121" t="str">
        <f ca="1">AB241&amp;"-"&amp;COUNTIF($AB$2:$AB241,$AB241)</f>
        <v>0-3-0-63</v>
      </c>
      <c r="X241" s="1121" t="s">
        <v>1037</v>
      </c>
      <c r="Y241" s="1123">
        <f t="shared" ca="1" si="63"/>
        <v>0</v>
      </c>
      <c r="Z241" s="1126">
        <v>3</v>
      </c>
      <c r="AA241" s="1123">
        <f t="shared" ca="1" si="60"/>
        <v>0</v>
      </c>
      <c r="AB241" s="1125" t="str">
        <f t="shared" ca="1" si="62"/>
        <v>0-3-0</v>
      </c>
    </row>
    <row r="242" spans="1:28" ht="15" customHeight="1" x14ac:dyDescent="0.2">
      <c r="A242" s="417" t="s">
        <v>0</v>
      </c>
      <c r="B242" s="417" t="s">
        <v>44</v>
      </c>
      <c r="C242" s="417" t="s">
        <v>1038</v>
      </c>
      <c r="D242" s="1111" t="s">
        <v>214</v>
      </c>
      <c r="E242" s="417">
        <v>3</v>
      </c>
      <c r="F242" s="100" t="str">
        <f t="shared" si="57"/>
        <v>RISK-23</v>
      </c>
      <c r="G242" s="100">
        <f t="shared" si="58"/>
        <v>6</v>
      </c>
      <c r="H242" s="133" t="e">
        <f t="shared" ca="1" si="61"/>
        <v>#VALUE!</v>
      </c>
      <c r="I242" s="133">
        <f t="shared" ca="1" si="59"/>
        <v>0</v>
      </c>
      <c r="J242" s="136" t="s">
        <v>228</v>
      </c>
      <c r="W242" s="1121" t="str">
        <f ca="1">AB242&amp;"-"&amp;COUNTIF($AB$2:$AB242,$AB242)</f>
        <v>0-3-0-64</v>
      </c>
      <c r="X242" s="1121" t="s">
        <v>1038</v>
      </c>
      <c r="Y242" s="1123">
        <f t="shared" ca="1" si="63"/>
        <v>0</v>
      </c>
      <c r="Z242" s="1126">
        <v>3</v>
      </c>
      <c r="AA242" s="1123">
        <f t="shared" ca="1" si="60"/>
        <v>0</v>
      </c>
      <c r="AB242" s="1125" t="str">
        <f t="shared" ca="1" si="62"/>
        <v>0-3-0</v>
      </c>
    </row>
    <row r="243" spans="1:28" ht="15" customHeight="1" x14ac:dyDescent="0.2">
      <c r="A243" s="417" t="s">
        <v>0</v>
      </c>
      <c r="B243" s="417" t="s">
        <v>46</v>
      </c>
      <c r="C243" s="417" t="s">
        <v>72</v>
      </c>
      <c r="D243" s="1111" t="s">
        <v>22</v>
      </c>
      <c r="E243" s="417">
        <v>1</v>
      </c>
      <c r="F243" s="100" t="str">
        <f t="shared" si="57"/>
        <v>RISK-31</v>
      </c>
      <c r="G243" s="100">
        <f t="shared" si="58"/>
        <v>1</v>
      </c>
      <c r="H243" s="133" t="e">
        <f t="shared" ca="1" si="61"/>
        <v>#VALUE!</v>
      </c>
      <c r="I243" s="133">
        <f t="shared" ca="1" si="59"/>
        <v>0</v>
      </c>
      <c r="J243" s="136" t="s">
        <v>229</v>
      </c>
      <c r="W243" s="1121" t="str">
        <f ca="1">AB243&amp;"-"&amp;COUNTIF($AB$2:$AB243,$AB243)</f>
        <v>0-1-0-42</v>
      </c>
      <c r="X243" s="1121" t="s">
        <v>72</v>
      </c>
      <c r="Y243" s="1123">
        <f t="shared" ca="1" si="63"/>
        <v>0</v>
      </c>
      <c r="Z243" s="1126">
        <v>1</v>
      </c>
      <c r="AA243" s="1123">
        <f t="shared" ca="1" si="60"/>
        <v>0</v>
      </c>
      <c r="AB243" s="1125" t="str">
        <f t="shared" ca="1" si="62"/>
        <v>0-1-0</v>
      </c>
    </row>
    <row r="244" spans="1:28" ht="15" customHeight="1" x14ac:dyDescent="0.2">
      <c r="A244" s="417" t="s">
        <v>0</v>
      </c>
      <c r="B244" s="417" t="s">
        <v>46</v>
      </c>
      <c r="C244" s="417" t="s">
        <v>75</v>
      </c>
      <c r="D244" s="1111" t="s">
        <v>23</v>
      </c>
      <c r="E244" s="417">
        <v>2</v>
      </c>
      <c r="F244" s="100" t="str">
        <f t="shared" si="57"/>
        <v>RISK-32</v>
      </c>
      <c r="G244" s="100">
        <f t="shared" si="58"/>
        <v>5</v>
      </c>
      <c r="H244" s="133" t="e">
        <f t="shared" ca="1" si="61"/>
        <v>#VALUE!</v>
      </c>
      <c r="I244" s="133">
        <f t="shared" ca="1" si="59"/>
        <v>0</v>
      </c>
      <c r="J244" s="136" t="s">
        <v>230</v>
      </c>
      <c r="W244" s="1121" t="str">
        <f ca="1">AB244&amp;"-"&amp;COUNTIF($AB$2:$AB244,$AB244)</f>
        <v>0-2-0-99</v>
      </c>
      <c r="X244" s="1121" t="s">
        <v>75</v>
      </c>
      <c r="Y244" s="1123">
        <f t="shared" ca="1" si="63"/>
        <v>0</v>
      </c>
      <c r="Z244" s="1126">
        <v>2</v>
      </c>
      <c r="AA244" s="1123">
        <f t="shared" ca="1" si="60"/>
        <v>0</v>
      </c>
      <c r="AB244" s="1125" t="str">
        <f t="shared" ca="1" si="62"/>
        <v>0-2-0</v>
      </c>
    </row>
    <row r="245" spans="1:28" ht="15" customHeight="1" x14ac:dyDescent="0.2">
      <c r="A245" s="417" t="s">
        <v>0</v>
      </c>
      <c r="B245" s="417" t="s">
        <v>46</v>
      </c>
      <c r="C245" s="417" t="s">
        <v>78</v>
      </c>
      <c r="D245" s="1111" t="s">
        <v>24</v>
      </c>
      <c r="E245" s="417">
        <v>2</v>
      </c>
      <c r="F245" s="100" t="str">
        <f t="shared" si="57"/>
        <v>RISK-32</v>
      </c>
      <c r="G245" s="100">
        <f t="shared" si="58"/>
        <v>5</v>
      </c>
      <c r="H245" s="133" t="e">
        <f t="shared" ca="1" si="61"/>
        <v>#VALUE!</v>
      </c>
      <c r="I245" s="133">
        <f t="shared" ca="1" si="59"/>
        <v>0</v>
      </c>
      <c r="J245" s="136" t="s">
        <v>231</v>
      </c>
      <c r="W245" s="1121" t="str">
        <f ca="1">AB245&amp;"-"&amp;COUNTIF($AB$2:$AB245,$AB245)</f>
        <v>0-2-0-100</v>
      </c>
      <c r="X245" s="1121" t="s">
        <v>78</v>
      </c>
      <c r="Y245" s="1123">
        <f t="shared" ca="1" si="63"/>
        <v>0</v>
      </c>
      <c r="Z245" s="1126">
        <v>2</v>
      </c>
      <c r="AA245" s="1123">
        <f t="shared" ca="1" si="60"/>
        <v>0</v>
      </c>
      <c r="AB245" s="1125" t="str">
        <f t="shared" ca="1" si="62"/>
        <v>0-2-0</v>
      </c>
    </row>
    <row r="246" spans="1:28" ht="15" customHeight="1" x14ac:dyDescent="0.2">
      <c r="A246" s="417" t="s">
        <v>0</v>
      </c>
      <c r="B246" s="417" t="s">
        <v>46</v>
      </c>
      <c r="C246" s="417" t="s">
        <v>81</v>
      </c>
      <c r="D246" s="1111" t="s">
        <v>25</v>
      </c>
      <c r="E246" s="417">
        <v>2</v>
      </c>
      <c r="F246" s="100" t="str">
        <f t="shared" si="57"/>
        <v>RISK-32</v>
      </c>
      <c r="G246" s="100">
        <f t="shared" si="58"/>
        <v>5</v>
      </c>
      <c r="H246" s="133" t="e">
        <f t="shared" ca="1" si="61"/>
        <v>#VALUE!</v>
      </c>
      <c r="I246" s="133">
        <f t="shared" ca="1" si="59"/>
        <v>0</v>
      </c>
      <c r="J246" s="136" t="s">
        <v>232</v>
      </c>
      <c r="W246" s="1121" t="str">
        <f ca="1">AB246&amp;"-"&amp;COUNTIF($AB$2:$AB246,$AB246)</f>
        <v>0-2-0-101</v>
      </c>
      <c r="X246" s="1121" t="s">
        <v>81</v>
      </c>
      <c r="Y246" s="1123">
        <f t="shared" ref="Y246:Y277" ca="1" si="64">VLOOKUP(LEFT($X246,LEN($X246)-1),$K:$O,5,FALSE)</f>
        <v>0</v>
      </c>
      <c r="Z246" s="1126">
        <v>2</v>
      </c>
      <c r="AA246" s="1123">
        <f t="shared" ca="1" si="60"/>
        <v>0</v>
      </c>
      <c r="AB246" s="1125" t="str">
        <f t="shared" ca="1" si="62"/>
        <v>0-2-0</v>
      </c>
    </row>
    <row r="247" spans="1:28" ht="15" customHeight="1" x14ac:dyDescent="0.2">
      <c r="A247" s="417" t="s">
        <v>0</v>
      </c>
      <c r="B247" s="417" t="s">
        <v>46</v>
      </c>
      <c r="C247" s="417" t="s">
        <v>83</v>
      </c>
      <c r="D247" s="1111" t="s">
        <v>26</v>
      </c>
      <c r="E247" s="417">
        <v>2</v>
      </c>
      <c r="F247" s="100" t="str">
        <f t="shared" si="57"/>
        <v>RISK-32</v>
      </c>
      <c r="G247" s="100">
        <f t="shared" si="58"/>
        <v>5</v>
      </c>
      <c r="H247" s="133" t="e">
        <f t="shared" ca="1" si="61"/>
        <v>#VALUE!</v>
      </c>
      <c r="I247" s="133">
        <f t="shared" ca="1" si="59"/>
        <v>0</v>
      </c>
      <c r="J247" s="136" t="s">
        <v>233</v>
      </c>
      <c r="W247" s="1121" t="str">
        <f ca="1">AB247&amp;"-"&amp;COUNTIF($AB$2:$AB247,$AB247)</f>
        <v>0-2-0-102</v>
      </c>
      <c r="X247" s="1121" t="s">
        <v>83</v>
      </c>
      <c r="Y247" s="1123">
        <f t="shared" ca="1" si="64"/>
        <v>0</v>
      </c>
      <c r="Z247" s="1126">
        <v>2</v>
      </c>
      <c r="AA247" s="1123">
        <f t="shared" ca="1" si="60"/>
        <v>0</v>
      </c>
      <c r="AB247" s="1125" t="str">
        <f t="shared" ca="1" si="62"/>
        <v>0-2-0</v>
      </c>
    </row>
    <row r="248" spans="1:28" ht="15" customHeight="1" x14ac:dyDescent="0.2">
      <c r="A248" s="417" t="s">
        <v>0</v>
      </c>
      <c r="B248" s="417" t="s">
        <v>46</v>
      </c>
      <c r="C248" s="417" t="s">
        <v>85</v>
      </c>
      <c r="D248" s="1111" t="s">
        <v>27</v>
      </c>
      <c r="E248" s="417">
        <v>2</v>
      </c>
      <c r="F248" s="100" t="str">
        <f t="shared" si="57"/>
        <v>RISK-32</v>
      </c>
      <c r="G248" s="100">
        <f t="shared" si="58"/>
        <v>5</v>
      </c>
      <c r="H248" s="133" t="e">
        <f t="shared" ca="1" si="61"/>
        <v>#VALUE!</v>
      </c>
      <c r="I248" s="133">
        <f t="shared" ca="1" si="59"/>
        <v>0</v>
      </c>
      <c r="J248" s="136" t="s">
        <v>234</v>
      </c>
      <c r="W248" s="1121" t="str">
        <f ca="1">AB248&amp;"-"&amp;COUNTIF($AB$2:$AB248,$AB248)</f>
        <v>0-2-0-103</v>
      </c>
      <c r="X248" s="1121" t="s">
        <v>85</v>
      </c>
      <c r="Y248" s="1123">
        <f t="shared" ca="1" si="64"/>
        <v>0</v>
      </c>
      <c r="Z248" s="1126">
        <v>2</v>
      </c>
      <c r="AA248" s="1123">
        <f t="shared" ca="1" si="60"/>
        <v>0</v>
      </c>
      <c r="AB248" s="1125" t="str">
        <f t="shared" ca="1" si="62"/>
        <v>0-2-0</v>
      </c>
    </row>
    <row r="249" spans="1:28" ht="15" customHeight="1" x14ac:dyDescent="0.2">
      <c r="A249" s="417" t="s">
        <v>0</v>
      </c>
      <c r="B249" s="417" t="s">
        <v>46</v>
      </c>
      <c r="C249" s="417" t="s">
        <v>87</v>
      </c>
      <c r="D249" s="1111" t="s">
        <v>28</v>
      </c>
      <c r="E249" s="417">
        <v>3</v>
      </c>
      <c r="F249" s="100" t="str">
        <f t="shared" si="57"/>
        <v>RISK-33</v>
      </c>
      <c r="G249" s="100">
        <f t="shared" si="58"/>
        <v>1</v>
      </c>
      <c r="H249" s="133" t="e">
        <f t="shared" ca="1" si="61"/>
        <v>#VALUE!</v>
      </c>
      <c r="I249" s="133">
        <f t="shared" ca="1" si="59"/>
        <v>0</v>
      </c>
      <c r="J249" s="136" t="s">
        <v>235</v>
      </c>
      <c r="W249" s="1121" t="str">
        <f ca="1">AB249&amp;"-"&amp;COUNTIF($AB$2:$AB249,$AB249)</f>
        <v>0-3-0-65</v>
      </c>
      <c r="X249" s="1121" t="s">
        <v>87</v>
      </c>
      <c r="Y249" s="1123">
        <f t="shared" ca="1" si="64"/>
        <v>0</v>
      </c>
      <c r="Z249" s="1126">
        <v>3</v>
      </c>
      <c r="AA249" s="1123">
        <f t="shared" ca="1" si="60"/>
        <v>0</v>
      </c>
      <c r="AB249" s="1125" t="str">
        <f t="shared" ca="1" si="62"/>
        <v>0-3-0</v>
      </c>
    </row>
    <row r="250" spans="1:28" ht="15" customHeight="1" x14ac:dyDescent="0.2">
      <c r="A250" s="417" t="s">
        <v>0</v>
      </c>
      <c r="B250" s="417" t="s">
        <v>1101</v>
      </c>
      <c r="C250" s="417" t="s">
        <v>1039</v>
      </c>
      <c r="D250" s="1111" t="s">
        <v>123</v>
      </c>
      <c r="E250" s="417">
        <v>1</v>
      </c>
      <c r="F250" s="100" t="str">
        <f t="shared" si="57"/>
        <v>RISK-41</v>
      </c>
      <c r="G250" s="100">
        <f t="shared" si="58"/>
        <v>1</v>
      </c>
      <c r="H250" s="133" t="e">
        <f t="shared" ca="1" si="61"/>
        <v>#VALUE!</v>
      </c>
      <c r="I250" s="133">
        <f t="shared" ca="1" si="59"/>
        <v>0</v>
      </c>
      <c r="J250" s="136" t="s">
        <v>236</v>
      </c>
      <c r="W250" s="1121" t="str">
        <f ca="1">AB250&amp;"-"&amp;COUNTIF($AB$2:$AB250,$AB250)</f>
        <v>0-1-0-43</v>
      </c>
      <c r="X250" s="1121" t="s">
        <v>1039</v>
      </c>
      <c r="Y250" s="1123">
        <f t="shared" ca="1" si="64"/>
        <v>0</v>
      </c>
      <c r="Z250" s="1126">
        <v>1</v>
      </c>
      <c r="AA250" s="1123">
        <f t="shared" ca="1" si="60"/>
        <v>0</v>
      </c>
      <c r="AB250" s="1125" t="str">
        <f t="shared" ca="1" si="62"/>
        <v>0-1-0</v>
      </c>
    </row>
    <row r="251" spans="1:28" ht="15" customHeight="1" x14ac:dyDescent="0.2">
      <c r="A251" s="417" t="s">
        <v>0</v>
      </c>
      <c r="B251" s="417" t="s">
        <v>1101</v>
      </c>
      <c r="C251" s="417" t="s">
        <v>1040</v>
      </c>
      <c r="D251" s="1111" t="s">
        <v>126</v>
      </c>
      <c r="E251" s="417">
        <v>2</v>
      </c>
      <c r="F251" s="100" t="str">
        <f t="shared" si="57"/>
        <v>RISK-42</v>
      </c>
      <c r="G251" s="100">
        <f t="shared" si="58"/>
        <v>1</v>
      </c>
      <c r="H251" s="133" t="e">
        <f t="shared" ca="1" si="61"/>
        <v>#VALUE!</v>
      </c>
      <c r="I251" s="133">
        <f t="shared" ca="1" si="59"/>
        <v>0</v>
      </c>
      <c r="J251" s="136" t="s">
        <v>237</v>
      </c>
      <c r="W251" s="1121" t="str">
        <f ca="1">AB251&amp;"-"&amp;COUNTIF($AB$2:$AB251,$AB251)</f>
        <v>0-2-0-104</v>
      </c>
      <c r="X251" s="1121" t="s">
        <v>1040</v>
      </c>
      <c r="Y251" s="1123">
        <f t="shared" ca="1" si="64"/>
        <v>0</v>
      </c>
      <c r="Z251" s="1126">
        <v>2</v>
      </c>
      <c r="AA251" s="1123">
        <f t="shared" ca="1" si="60"/>
        <v>0</v>
      </c>
      <c r="AB251" s="1125" t="str">
        <f t="shared" ca="1" si="62"/>
        <v>0-2-0</v>
      </c>
    </row>
    <row r="252" spans="1:28" ht="15" customHeight="1" x14ac:dyDescent="0.2">
      <c r="A252" s="417" t="s">
        <v>0</v>
      </c>
      <c r="B252" s="417" t="s">
        <v>1101</v>
      </c>
      <c r="C252" s="417" t="s">
        <v>1041</v>
      </c>
      <c r="D252" s="1111" t="s">
        <v>129</v>
      </c>
      <c r="E252" s="417">
        <v>3</v>
      </c>
      <c r="F252" s="100" t="str">
        <f t="shared" si="57"/>
        <v>RISK-43</v>
      </c>
      <c r="G252" s="100">
        <f t="shared" si="58"/>
        <v>3</v>
      </c>
      <c r="H252" s="133" t="e">
        <f t="shared" ca="1" si="61"/>
        <v>#VALUE!</v>
      </c>
      <c r="I252" s="133">
        <f t="shared" ca="1" si="59"/>
        <v>0</v>
      </c>
      <c r="J252" s="136" t="s">
        <v>238</v>
      </c>
      <c r="W252" s="1121" t="str">
        <f ca="1">AB252&amp;"-"&amp;COUNTIF($AB$2:$AB252,$AB252)</f>
        <v>0-3-0-66</v>
      </c>
      <c r="X252" s="1121" t="s">
        <v>1041</v>
      </c>
      <c r="Y252" s="1123">
        <f t="shared" ca="1" si="64"/>
        <v>0</v>
      </c>
      <c r="Z252" s="1126">
        <v>3</v>
      </c>
      <c r="AA252" s="1123">
        <f t="shared" ca="1" si="60"/>
        <v>0</v>
      </c>
      <c r="AB252" s="1125" t="str">
        <f t="shared" ca="1" si="62"/>
        <v>0-3-0</v>
      </c>
    </row>
    <row r="253" spans="1:28" ht="15" customHeight="1" x14ac:dyDescent="0.2">
      <c r="A253" s="417" t="s">
        <v>0</v>
      </c>
      <c r="B253" s="417" t="s">
        <v>1101</v>
      </c>
      <c r="C253" s="417" t="s">
        <v>1042</v>
      </c>
      <c r="D253" s="1111" t="s">
        <v>132</v>
      </c>
      <c r="E253" s="417">
        <v>3</v>
      </c>
      <c r="F253" s="100" t="str">
        <f t="shared" si="57"/>
        <v>RISK-43</v>
      </c>
      <c r="G253" s="100">
        <f t="shared" si="58"/>
        <v>3</v>
      </c>
      <c r="H253" s="133" t="e">
        <f t="shared" ca="1" si="61"/>
        <v>#VALUE!</v>
      </c>
      <c r="I253" s="133">
        <f t="shared" ca="1" si="59"/>
        <v>0</v>
      </c>
      <c r="J253" s="136" t="s">
        <v>239</v>
      </c>
      <c r="W253" s="1121" t="str">
        <f ca="1">AB253&amp;"-"&amp;COUNTIF($AB$2:$AB253,$AB253)</f>
        <v>0-3-0-67</v>
      </c>
      <c r="X253" s="1121" t="s">
        <v>1042</v>
      </c>
      <c r="Y253" s="1123">
        <f t="shared" ca="1" si="64"/>
        <v>0</v>
      </c>
      <c r="Z253" s="1126">
        <v>3</v>
      </c>
      <c r="AA253" s="1123">
        <f t="shared" ca="1" si="60"/>
        <v>0</v>
      </c>
      <c r="AB253" s="1125" t="str">
        <f t="shared" ca="1" si="62"/>
        <v>0-3-0</v>
      </c>
    </row>
    <row r="254" spans="1:28" ht="15" customHeight="1" x14ac:dyDescent="0.2">
      <c r="A254" s="417" t="s">
        <v>0</v>
      </c>
      <c r="B254" s="417" t="s">
        <v>1101</v>
      </c>
      <c r="C254" s="417" t="s">
        <v>1043</v>
      </c>
      <c r="D254" s="1111" t="s">
        <v>135</v>
      </c>
      <c r="E254" s="417">
        <v>3</v>
      </c>
      <c r="F254" s="100" t="str">
        <f t="shared" si="57"/>
        <v>RISK-43</v>
      </c>
      <c r="G254" s="100">
        <f t="shared" si="58"/>
        <v>3</v>
      </c>
      <c r="H254" s="133" t="e">
        <f t="shared" ca="1" si="61"/>
        <v>#VALUE!</v>
      </c>
      <c r="I254" s="133">
        <f t="shared" ca="1" si="59"/>
        <v>0</v>
      </c>
      <c r="J254" s="136" t="s">
        <v>240</v>
      </c>
      <c r="W254" s="1121" t="str">
        <f ca="1">AB254&amp;"-"&amp;COUNTIF($AB$2:$AB254,$AB254)</f>
        <v>0-3-0-68</v>
      </c>
      <c r="X254" s="1121" t="s">
        <v>1043</v>
      </c>
      <c r="Y254" s="1123">
        <f t="shared" ca="1" si="64"/>
        <v>0</v>
      </c>
      <c r="Z254" s="1126">
        <v>3</v>
      </c>
      <c r="AA254" s="1123">
        <f t="shared" ca="1" si="60"/>
        <v>0</v>
      </c>
      <c r="AB254" s="1125" t="str">
        <f t="shared" ca="1" si="62"/>
        <v>0-3-0</v>
      </c>
    </row>
    <row r="255" spans="1:28" ht="15" customHeight="1" x14ac:dyDescent="0.2">
      <c r="A255" s="417" t="s">
        <v>0</v>
      </c>
      <c r="B255" s="417" t="s">
        <v>1102</v>
      </c>
      <c r="C255" s="417" t="s">
        <v>1044</v>
      </c>
      <c r="D255" s="1111" t="s">
        <v>140</v>
      </c>
      <c r="E255" s="417">
        <v>2</v>
      </c>
      <c r="F255" s="100" t="str">
        <f t="shared" si="57"/>
        <v>RISK-52</v>
      </c>
      <c r="G255" s="100">
        <f t="shared" si="58"/>
        <v>2</v>
      </c>
      <c r="H255" s="133" t="e">
        <f t="shared" ca="1" si="61"/>
        <v>#VALUE!</v>
      </c>
      <c r="I255" s="133">
        <f t="shared" ca="1" si="59"/>
        <v>0</v>
      </c>
      <c r="J255" s="136" t="s">
        <v>241</v>
      </c>
      <c r="W255" s="1121" t="str">
        <f ca="1">AB255&amp;"-"&amp;COUNTIF($AB$2:$AB255,$AB255)</f>
        <v>1-2-0-14</v>
      </c>
      <c r="X255" s="1121" t="s">
        <v>1044</v>
      </c>
      <c r="Y255" s="1123">
        <f t="shared" ca="1" si="64"/>
        <v>1</v>
      </c>
      <c r="Z255" s="1126">
        <v>2</v>
      </c>
      <c r="AA255" s="1123">
        <f t="shared" ca="1" si="60"/>
        <v>0</v>
      </c>
      <c r="AB255" s="1125" t="str">
        <f t="shared" ca="1" si="62"/>
        <v>1-2-0</v>
      </c>
    </row>
    <row r="256" spans="1:28" ht="15" customHeight="1" x14ac:dyDescent="0.2">
      <c r="A256" s="417" t="s">
        <v>0</v>
      </c>
      <c r="B256" s="417" t="s">
        <v>1102</v>
      </c>
      <c r="C256" s="417" t="s">
        <v>1045</v>
      </c>
      <c r="D256" s="1111" t="s">
        <v>143</v>
      </c>
      <c r="E256" s="417">
        <v>2</v>
      </c>
      <c r="F256" s="100" t="str">
        <f t="shared" si="57"/>
        <v>RISK-52</v>
      </c>
      <c r="G256" s="100">
        <f t="shared" si="58"/>
        <v>2</v>
      </c>
      <c r="H256" s="133" t="e">
        <f t="shared" ca="1" si="61"/>
        <v>#VALUE!</v>
      </c>
      <c r="I256" s="133">
        <f t="shared" ca="1" si="59"/>
        <v>0</v>
      </c>
      <c r="J256" s="136" t="s">
        <v>242</v>
      </c>
      <c r="W256" s="1121" t="str">
        <f ca="1">AB256&amp;"-"&amp;COUNTIF($AB$2:$AB256,$AB256)</f>
        <v>1-2-0-15</v>
      </c>
      <c r="X256" s="1121" t="s">
        <v>1045</v>
      </c>
      <c r="Y256" s="1123">
        <f t="shared" ca="1" si="64"/>
        <v>1</v>
      </c>
      <c r="Z256" s="1126">
        <v>2</v>
      </c>
      <c r="AA256" s="1123">
        <f t="shared" ca="1" si="60"/>
        <v>0</v>
      </c>
      <c r="AB256" s="1125" t="str">
        <f t="shared" ca="1" si="62"/>
        <v>1-2-0</v>
      </c>
    </row>
    <row r="257" spans="1:28" ht="15" customHeight="1" x14ac:dyDescent="0.2">
      <c r="A257" s="417" t="s">
        <v>0</v>
      </c>
      <c r="B257" s="417" t="s">
        <v>1102</v>
      </c>
      <c r="C257" s="417" t="s">
        <v>1046</v>
      </c>
      <c r="D257" s="1111" t="s">
        <v>146</v>
      </c>
      <c r="E257" s="417">
        <v>3</v>
      </c>
      <c r="F257" s="100" t="str">
        <f t="shared" si="57"/>
        <v>RISK-53</v>
      </c>
      <c r="G257" s="100">
        <f t="shared" si="58"/>
        <v>4</v>
      </c>
      <c r="H257" s="133" t="e">
        <f t="shared" ca="1" si="61"/>
        <v>#VALUE!</v>
      </c>
      <c r="I257" s="133">
        <f t="shared" ca="1" si="59"/>
        <v>0</v>
      </c>
      <c r="J257" s="136" t="s">
        <v>243</v>
      </c>
      <c r="W257" s="1121" t="str">
        <f ca="1">AB257&amp;"-"&amp;COUNTIF($AB$2:$AB257,$AB257)</f>
        <v>1-3-0-26</v>
      </c>
      <c r="X257" s="1121" t="s">
        <v>1046</v>
      </c>
      <c r="Y257" s="1123">
        <f t="shared" ca="1" si="64"/>
        <v>1</v>
      </c>
      <c r="Z257" s="1126">
        <v>3</v>
      </c>
      <c r="AA257" s="1123">
        <f t="shared" ca="1" si="60"/>
        <v>0</v>
      </c>
      <c r="AB257" s="1125" t="str">
        <f t="shared" ca="1" si="62"/>
        <v>1-3-0</v>
      </c>
    </row>
    <row r="258" spans="1:28" ht="15" customHeight="1" x14ac:dyDescent="0.2">
      <c r="A258" s="417" t="s">
        <v>0</v>
      </c>
      <c r="B258" s="417" t="s">
        <v>1102</v>
      </c>
      <c r="C258" s="417" t="s">
        <v>1047</v>
      </c>
      <c r="D258" s="1111" t="s">
        <v>149</v>
      </c>
      <c r="E258" s="417">
        <v>3</v>
      </c>
      <c r="F258" s="100" t="str">
        <f t="shared" ref="F258:F321" si="65">CONCATENATE($B258,$E258)</f>
        <v>RISK-53</v>
      </c>
      <c r="G258" s="100">
        <f t="shared" ref="G258:G321" si="66">COUNTIF($F:$F,$F258)</f>
        <v>4</v>
      </c>
      <c r="H258" s="133" t="e">
        <f t="shared" ca="1" si="61"/>
        <v>#VALUE!</v>
      </c>
      <c r="I258" s="133">
        <f t="shared" ref="I258:I321" ca="1" si="67">IFERROR(IF(H258&gt;2,1,0),0)</f>
        <v>0</v>
      </c>
      <c r="J258" s="136" t="s">
        <v>245</v>
      </c>
      <c r="W258" s="1121" t="str">
        <f ca="1">AB258&amp;"-"&amp;COUNTIF($AB$2:$AB258,$AB258)</f>
        <v>1-3-0-27</v>
      </c>
      <c r="X258" s="1121" t="s">
        <v>1047</v>
      </c>
      <c r="Y258" s="1123">
        <f t="shared" ca="1" si="64"/>
        <v>1</v>
      </c>
      <c r="Z258" s="1126">
        <v>3</v>
      </c>
      <c r="AA258" s="1123">
        <f t="shared" ref="AA258:AA326" ca="1" si="68">VLOOKUP(X258,C:I,7,FALSE)</f>
        <v>0</v>
      </c>
      <c r="AB258" s="1125" t="str">
        <f t="shared" ca="1" si="62"/>
        <v>1-3-0</v>
      </c>
    </row>
    <row r="259" spans="1:28" ht="15" customHeight="1" x14ac:dyDescent="0.2">
      <c r="A259" s="417" t="s">
        <v>0</v>
      </c>
      <c r="B259" s="417" t="s">
        <v>1102</v>
      </c>
      <c r="C259" s="417" t="s">
        <v>1048</v>
      </c>
      <c r="D259" s="1111" t="s">
        <v>151</v>
      </c>
      <c r="E259" s="417">
        <v>3</v>
      </c>
      <c r="F259" s="100" t="str">
        <f t="shared" si="65"/>
        <v>RISK-53</v>
      </c>
      <c r="G259" s="100">
        <f t="shared" si="66"/>
        <v>4</v>
      </c>
      <c r="H259" s="133" t="e">
        <f t="shared" ref="H259:H322" ca="1" si="69">INT(LEFT(
VLOOKUP($D259, INDIRECT("'"&amp;$A259&amp;"'!"&amp;"$D:$G"), 4,FALSE), 1)
)</f>
        <v>#VALUE!</v>
      </c>
      <c r="I259" s="133">
        <f t="shared" ca="1" si="67"/>
        <v>0</v>
      </c>
      <c r="J259" s="136" t="s">
        <v>246</v>
      </c>
      <c r="W259" s="1121" t="str">
        <f ca="1">AB259&amp;"-"&amp;COUNTIF($AB$2:$AB259,$AB259)</f>
        <v>1-3-0-28</v>
      </c>
      <c r="X259" s="1121" t="s">
        <v>1048</v>
      </c>
      <c r="Y259" s="1123">
        <f t="shared" ca="1" si="64"/>
        <v>1</v>
      </c>
      <c r="Z259" s="1126">
        <v>3</v>
      </c>
      <c r="AA259" s="1123">
        <f t="shared" ca="1" si="68"/>
        <v>0</v>
      </c>
      <c r="AB259" s="1125" t="str">
        <f t="shared" ca="1" si="62"/>
        <v>1-3-0</v>
      </c>
    </row>
    <row r="260" spans="1:28" ht="15" customHeight="1" x14ac:dyDescent="0.2">
      <c r="A260" s="417" t="s">
        <v>0</v>
      </c>
      <c r="B260" s="417" t="s">
        <v>1102</v>
      </c>
      <c r="C260" s="417" t="s">
        <v>1049</v>
      </c>
      <c r="D260" s="1111" t="s">
        <v>153</v>
      </c>
      <c r="E260" s="417">
        <v>3</v>
      </c>
      <c r="F260" s="100" t="str">
        <f t="shared" si="65"/>
        <v>RISK-53</v>
      </c>
      <c r="G260" s="100">
        <f t="shared" si="66"/>
        <v>4</v>
      </c>
      <c r="H260" s="133" t="e">
        <f t="shared" ca="1" si="69"/>
        <v>#VALUE!</v>
      </c>
      <c r="I260" s="133">
        <f t="shared" ca="1" si="67"/>
        <v>0</v>
      </c>
      <c r="J260" s="136" t="s">
        <v>247</v>
      </c>
      <c r="W260" s="1121" t="str">
        <f ca="1">AB260&amp;"-"&amp;COUNTIF($AB$2:$AB260,$AB260)</f>
        <v>1-3-0-29</v>
      </c>
      <c r="X260" s="1121" t="s">
        <v>1049</v>
      </c>
      <c r="Y260" s="1123">
        <f t="shared" ca="1" si="64"/>
        <v>1</v>
      </c>
      <c r="Z260" s="1126">
        <v>3</v>
      </c>
      <c r="AA260" s="1123">
        <f t="shared" ca="1" si="68"/>
        <v>0</v>
      </c>
      <c r="AB260" s="1125" t="str">
        <f t="shared" ref="AB260:AB323" ca="1" si="70">Y260&amp;"-"&amp;Z260&amp;"-"&amp;AA260</f>
        <v>1-3-0</v>
      </c>
    </row>
    <row r="261" spans="1:28" ht="15" customHeight="1" x14ac:dyDescent="0.2">
      <c r="A261" s="130" t="s">
        <v>69</v>
      </c>
      <c r="B261" s="130" t="s">
        <v>84</v>
      </c>
      <c r="C261" s="130" t="s">
        <v>222</v>
      </c>
      <c r="D261" s="1112" t="s">
        <v>5</v>
      </c>
      <c r="E261" s="130">
        <v>1</v>
      </c>
      <c r="F261" s="100" t="str">
        <f t="shared" si="65"/>
        <v>SITUATION-11</v>
      </c>
      <c r="G261" s="100">
        <f t="shared" si="66"/>
        <v>1</v>
      </c>
      <c r="H261" s="133" t="e">
        <f t="shared" ca="1" si="69"/>
        <v>#VALUE!</v>
      </c>
      <c r="I261" s="133">
        <f t="shared" ca="1" si="67"/>
        <v>0</v>
      </c>
      <c r="J261" s="136" t="s">
        <v>248</v>
      </c>
      <c r="W261" s="1121" t="str">
        <f ca="1">AB261&amp;"-"&amp;COUNTIF($AB$2:$AB261,$AB261)</f>
        <v>0-1-0-44</v>
      </c>
      <c r="X261" s="1121" t="s">
        <v>222</v>
      </c>
      <c r="Y261" s="1123">
        <f t="shared" ca="1" si="64"/>
        <v>0</v>
      </c>
      <c r="Z261" s="1126">
        <v>1</v>
      </c>
      <c r="AA261" s="1123">
        <f t="shared" ca="1" si="68"/>
        <v>0</v>
      </c>
      <c r="AB261" s="1125" t="str">
        <f t="shared" ca="1" si="70"/>
        <v>0-1-0</v>
      </c>
    </row>
    <row r="262" spans="1:28" ht="15" customHeight="1" x14ac:dyDescent="0.2">
      <c r="A262" s="130" t="s">
        <v>69</v>
      </c>
      <c r="B262" s="130" t="s">
        <v>84</v>
      </c>
      <c r="C262" s="130" t="s">
        <v>223</v>
      </c>
      <c r="D262" s="1112" t="s">
        <v>7</v>
      </c>
      <c r="E262" s="130">
        <v>2</v>
      </c>
      <c r="F262" s="100" t="str">
        <f t="shared" si="65"/>
        <v>SITUATION-12</v>
      </c>
      <c r="G262" s="100">
        <f t="shared" si="66"/>
        <v>3</v>
      </c>
      <c r="H262" s="133" t="e">
        <f t="shared" ca="1" si="69"/>
        <v>#VALUE!</v>
      </c>
      <c r="I262" s="133">
        <f t="shared" ca="1" si="67"/>
        <v>0</v>
      </c>
      <c r="J262" s="136" t="s">
        <v>249</v>
      </c>
      <c r="W262" s="1121" t="str">
        <f ca="1">AB262&amp;"-"&amp;COUNTIF($AB$2:$AB262,$AB262)</f>
        <v>0-2-0-105</v>
      </c>
      <c r="X262" s="1121" t="s">
        <v>223</v>
      </c>
      <c r="Y262" s="1123">
        <f t="shared" ca="1" si="64"/>
        <v>0</v>
      </c>
      <c r="Z262" s="1126">
        <v>2</v>
      </c>
      <c r="AA262" s="1123">
        <f t="shared" ca="1" si="68"/>
        <v>0</v>
      </c>
      <c r="AB262" s="1125" t="str">
        <f t="shared" ca="1" si="70"/>
        <v>0-2-0</v>
      </c>
    </row>
    <row r="263" spans="1:28" ht="15" customHeight="1" x14ac:dyDescent="0.2">
      <c r="A263" s="130" t="s">
        <v>69</v>
      </c>
      <c r="B263" s="130" t="s">
        <v>84</v>
      </c>
      <c r="C263" s="130" t="s">
        <v>224</v>
      </c>
      <c r="D263" s="1112" t="s">
        <v>8</v>
      </c>
      <c r="E263" s="130">
        <v>2</v>
      </c>
      <c r="F263" s="100" t="str">
        <f t="shared" si="65"/>
        <v>SITUATION-12</v>
      </c>
      <c r="G263" s="100">
        <f t="shared" si="66"/>
        <v>3</v>
      </c>
      <c r="H263" s="133" t="e">
        <f t="shared" ca="1" si="69"/>
        <v>#VALUE!</v>
      </c>
      <c r="I263" s="133">
        <f t="shared" ca="1" si="67"/>
        <v>0</v>
      </c>
      <c r="J263" s="136" t="s">
        <v>250</v>
      </c>
      <c r="W263" s="1121" t="str">
        <f ca="1">AB263&amp;"-"&amp;COUNTIF($AB$2:$AB263,$AB263)</f>
        <v>0-2-0-106</v>
      </c>
      <c r="X263" s="1121" t="s">
        <v>224</v>
      </c>
      <c r="Y263" s="1123">
        <f t="shared" ca="1" si="64"/>
        <v>0</v>
      </c>
      <c r="Z263" s="1126">
        <v>2</v>
      </c>
      <c r="AA263" s="1123">
        <f t="shared" ca="1" si="68"/>
        <v>0</v>
      </c>
      <c r="AB263" s="1125" t="str">
        <f t="shared" ca="1" si="70"/>
        <v>0-2-0</v>
      </c>
    </row>
    <row r="264" spans="1:28" ht="15" customHeight="1" x14ac:dyDescent="0.2">
      <c r="A264" s="130" t="s">
        <v>69</v>
      </c>
      <c r="B264" s="130" t="s">
        <v>84</v>
      </c>
      <c r="C264" s="130" t="s">
        <v>225</v>
      </c>
      <c r="D264" s="1112" t="s">
        <v>9</v>
      </c>
      <c r="E264" s="130">
        <v>2</v>
      </c>
      <c r="F264" s="100" t="str">
        <f t="shared" si="65"/>
        <v>SITUATION-12</v>
      </c>
      <c r="G264" s="100">
        <f t="shared" si="66"/>
        <v>3</v>
      </c>
      <c r="H264" s="133" t="e">
        <f t="shared" ca="1" si="69"/>
        <v>#VALUE!</v>
      </c>
      <c r="I264" s="133">
        <f t="shared" ca="1" si="67"/>
        <v>0</v>
      </c>
      <c r="J264" s="136" t="s">
        <v>251</v>
      </c>
      <c r="W264" s="1121" t="str">
        <f ca="1">AB264&amp;"-"&amp;COUNTIF($AB$2:$AB264,$AB264)</f>
        <v>0-2-0-107</v>
      </c>
      <c r="X264" s="1121" t="s">
        <v>225</v>
      </c>
      <c r="Y264" s="1123">
        <f t="shared" ca="1" si="64"/>
        <v>0</v>
      </c>
      <c r="Z264" s="1126">
        <v>2</v>
      </c>
      <c r="AA264" s="1123">
        <f t="shared" ca="1" si="68"/>
        <v>0</v>
      </c>
      <c r="AB264" s="1125" t="str">
        <f t="shared" ca="1" si="70"/>
        <v>0-2-0</v>
      </c>
    </row>
    <row r="265" spans="1:28" ht="15" customHeight="1" x14ac:dyDescent="0.2">
      <c r="A265" s="130" t="s">
        <v>69</v>
      </c>
      <c r="B265" s="130" t="s">
        <v>84</v>
      </c>
      <c r="C265" s="130" t="s">
        <v>1059</v>
      </c>
      <c r="D265" s="1112" t="s">
        <v>10</v>
      </c>
      <c r="E265" s="130">
        <v>3</v>
      </c>
      <c r="F265" s="100" t="str">
        <f t="shared" si="65"/>
        <v>SITUATION-13</v>
      </c>
      <c r="G265" s="100">
        <f t="shared" si="66"/>
        <v>1</v>
      </c>
      <c r="H265" s="133" t="e">
        <f t="shared" ca="1" si="69"/>
        <v>#VALUE!</v>
      </c>
      <c r="I265" s="133">
        <f t="shared" ca="1" si="67"/>
        <v>0</v>
      </c>
      <c r="J265" s="136" t="s">
        <v>183</v>
      </c>
      <c r="W265" s="1121" t="str">
        <f ca="1">AB265&amp;"-"&amp;COUNTIF($AB$2:$AB265,$AB265)</f>
        <v>0-3-0-69</v>
      </c>
      <c r="X265" s="1121" t="s">
        <v>1059</v>
      </c>
      <c r="Y265" s="1123">
        <f t="shared" ca="1" si="64"/>
        <v>0</v>
      </c>
      <c r="Z265" s="1126">
        <v>3</v>
      </c>
      <c r="AA265" s="1123">
        <f t="shared" ca="1" si="68"/>
        <v>0</v>
      </c>
      <c r="AB265" s="1125" t="str">
        <f t="shared" ca="1" si="70"/>
        <v>0-3-0</v>
      </c>
    </row>
    <row r="266" spans="1:28" ht="15" customHeight="1" x14ac:dyDescent="0.2">
      <c r="A266" s="130" t="s">
        <v>69</v>
      </c>
      <c r="B266" s="130" t="s">
        <v>86</v>
      </c>
      <c r="C266" s="130" t="s">
        <v>226</v>
      </c>
      <c r="D266" s="1112" t="s">
        <v>17</v>
      </c>
      <c r="E266" s="130">
        <v>1</v>
      </c>
      <c r="F266" s="100" t="str">
        <f t="shared" si="65"/>
        <v>SITUATION-21</v>
      </c>
      <c r="G266" s="100">
        <f t="shared" si="66"/>
        <v>2</v>
      </c>
      <c r="H266" s="133" t="e">
        <f t="shared" ca="1" si="69"/>
        <v>#VALUE!</v>
      </c>
      <c r="I266" s="133">
        <f t="shared" ca="1" si="67"/>
        <v>0</v>
      </c>
      <c r="J266" s="136" t="s">
        <v>184</v>
      </c>
      <c r="W266" s="1121" t="str">
        <f ca="1">AB266&amp;"-"&amp;COUNTIF($AB$2:$AB266,$AB266)</f>
        <v>0-1-0-45</v>
      </c>
      <c r="X266" s="1121" t="s">
        <v>226</v>
      </c>
      <c r="Y266" s="1123">
        <f t="shared" ca="1" si="64"/>
        <v>0</v>
      </c>
      <c r="Z266" s="1126">
        <v>1</v>
      </c>
      <c r="AA266" s="1123">
        <f t="shared" ca="1" si="68"/>
        <v>0</v>
      </c>
      <c r="AB266" s="1125" t="str">
        <f t="shared" ca="1" si="70"/>
        <v>0-1-0</v>
      </c>
    </row>
    <row r="267" spans="1:28" ht="15" customHeight="1" x14ac:dyDescent="0.2">
      <c r="A267" s="130" t="s">
        <v>69</v>
      </c>
      <c r="B267" s="130" t="s">
        <v>86</v>
      </c>
      <c r="C267" s="130" t="s">
        <v>227</v>
      </c>
      <c r="D267" s="1112" t="s">
        <v>18</v>
      </c>
      <c r="E267" s="130">
        <v>1</v>
      </c>
      <c r="F267" s="100" t="str">
        <f t="shared" si="65"/>
        <v>SITUATION-21</v>
      </c>
      <c r="G267" s="100">
        <f t="shared" si="66"/>
        <v>2</v>
      </c>
      <c r="H267" s="133" t="e">
        <f t="shared" ca="1" si="69"/>
        <v>#VALUE!</v>
      </c>
      <c r="I267" s="133">
        <f t="shared" ca="1" si="67"/>
        <v>0</v>
      </c>
      <c r="J267" s="136" t="s">
        <v>185</v>
      </c>
      <c r="W267" s="1121" t="str">
        <f ca="1">AB267&amp;"-"&amp;COUNTIF($AB$2:$AB267,$AB267)</f>
        <v>0-1-0-46</v>
      </c>
      <c r="X267" s="1121" t="s">
        <v>227</v>
      </c>
      <c r="Y267" s="1123">
        <f t="shared" ca="1" si="64"/>
        <v>0</v>
      </c>
      <c r="Z267" s="1126">
        <v>1</v>
      </c>
      <c r="AA267" s="1123">
        <f t="shared" ca="1" si="68"/>
        <v>0</v>
      </c>
      <c r="AB267" s="1125" t="str">
        <f t="shared" ca="1" si="70"/>
        <v>0-1-0</v>
      </c>
    </row>
    <row r="268" spans="1:28" ht="15" customHeight="1" x14ac:dyDescent="0.2">
      <c r="A268" s="130" t="s">
        <v>69</v>
      </c>
      <c r="B268" s="130" t="s">
        <v>86</v>
      </c>
      <c r="C268" s="130" t="s">
        <v>228</v>
      </c>
      <c r="D268" s="1112" t="s">
        <v>19</v>
      </c>
      <c r="E268" s="130">
        <v>2</v>
      </c>
      <c r="F268" s="100" t="str">
        <f t="shared" si="65"/>
        <v>SITUATION-22</v>
      </c>
      <c r="G268" s="100">
        <f t="shared" si="66"/>
        <v>4</v>
      </c>
      <c r="H268" s="133" t="e">
        <f t="shared" ca="1" si="69"/>
        <v>#VALUE!</v>
      </c>
      <c r="I268" s="133">
        <f t="shared" ca="1" si="67"/>
        <v>0</v>
      </c>
      <c r="J268" s="136" t="s">
        <v>186</v>
      </c>
      <c r="W268" s="1121" t="str">
        <f ca="1">AB268&amp;"-"&amp;COUNTIF($AB$2:$AB268,$AB268)</f>
        <v>0-2-0-108</v>
      </c>
      <c r="X268" s="1121" t="s">
        <v>228</v>
      </c>
      <c r="Y268" s="1123">
        <f t="shared" ca="1" si="64"/>
        <v>0</v>
      </c>
      <c r="Z268" s="1126">
        <v>2</v>
      </c>
      <c r="AA268" s="1123">
        <f t="shared" ca="1" si="68"/>
        <v>0</v>
      </c>
      <c r="AB268" s="1125" t="str">
        <f t="shared" ca="1" si="70"/>
        <v>0-2-0</v>
      </c>
    </row>
    <row r="269" spans="1:28" ht="15" customHeight="1" x14ac:dyDescent="0.2">
      <c r="A269" s="130" t="s">
        <v>69</v>
      </c>
      <c r="B269" s="130" t="s">
        <v>86</v>
      </c>
      <c r="C269" s="130" t="s">
        <v>229</v>
      </c>
      <c r="D269" s="1112" t="s">
        <v>20</v>
      </c>
      <c r="E269" s="130">
        <v>2</v>
      </c>
      <c r="F269" s="100" t="str">
        <f t="shared" si="65"/>
        <v>SITUATION-22</v>
      </c>
      <c r="G269" s="100">
        <f t="shared" si="66"/>
        <v>4</v>
      </c>
      <c r="H269" s="133" t="e">
        <f t="shared" ca="1" si="69"/>
        <v>#VALUE!</v>
      </c>
      <c r="I269" s="133">
        <f t="shared" ca="1" si="67"/>
        <v>0</v>
      </c>
      <c r="J269" s="136" t="s">
        <v>187</v>
      </c>
      <c r="W269" s="1121" t="str">
        <f ca="1">AB269&amp;"-"&amp;COUNTIF($AB$2:$AB269,$AB269)</f>
        <v>0-2-0-109</v>
      </c>
      <c r="X269" s="1121" t="s">
        <v>229</v>
      </c>
      <c r="Y269" s="1123">
        <f t="shared" ca="1" si="64"/>
        <v>0</v>
      </c>
      <c r="Z269" s="1126">
        <v>2</v>
      </c>
      <c r="AA269" s="1123">
        <f t="shared" ca="1" si="68"/>
        <v>0</v>
      </c>
      <c r="AB269" s="1125" t="str">
        <f t="shared" ca="1" si="70"/>
        <v>0-2-0</v>
      </c>
    </row>
    <row r="270" spans="1:28" ht="15" customHeight="1" x14ac:dyDescent="0.2">
      <c r="A270" s="130" t="s">
        <v>69</v>
      </c>
      <c r="B270" s="130" t="s">
        <v>86</v>
      </c>
      <c r="C270" s="130" t="s">
        <v>230</v>
      </c>
      <c r="D270" s="1112" t="s">
        <v>21</v>
      </c>
      <c r="E270" s="130">
        <v>2</v>
      </c>
      <c r="F270" s="100" t="str">
        <f t="shared" si="65"/>
        <v>SITUATION-22</v>
      </c>
      <c r="G270" s="100">
        <f t="shared" si="66"/>
        <v>4</v>
      </c>
      <c r="H270" s="133" t="e">
        <f t="shared" ca="1" si="69"/>
        <v>#VALUE!</v>
      </c>
      <c r="I270" s="133">
        <f t="shared" ca="1" si="67"/>
        <v>0</v>
      </c>
      <c r="J270" s="136" t="s">
        <v>188</v>
      </c>
      <c r="W270" s="1121" t="str">
        <f ca="1">AB270&amp;"-"&amp;COUNTIF($AB$2:$AB270,$AB270)</f>
        <v>0-2-0-110</v>
      </c>
      <c r="X270" s="1121" t="s">
        <v>230</v>
      </c>
      <c r="Y270" s="1123">
        <f t="shared" ca="1" si="64"/>
        <v>0</v>
      </c>
      <c r="Z270" s="1126">
        <v>2</v>
      </c>
      <c r="AA270" s="1123">
        <f t="shared" ca="1" si="68"/>
        <v>0</v>
      </c>
      <c r="AB270" s="1125" t="str">
        <f t="shared" ca="1" si="70"/>
        <v>0-2-0</v>
      </c>
    </row>
    <row r="271" spans="1:28" ht="15" customHeight="1" x14ac:dyDescent="0.2">
      <c r="A271" s="130" t="s">
        <v>69</v>
      </c>
      <c r="B271" s="130" t="s">
        <v>86</v>
      </c>
      <c r="C271" s="130" t="s">
        <v>231</v>
      </c>
      <c r="D271" s="1112" t="s">
        <v>109</v>
      </c>
      <c r="E271" s="130">
        <v>2</v>
      </c>
      <c r="F271" s="100" t="str">
        <f t="shared" si="65"/>
        <v>SITUATION-22</v>
      </c>
      <c r="G271" s="100">
        <f t="shared" si="66"/>
        <v>4</v>
      </c>
      <c r="H271" s="133" t="e">
        <f t="shared" ca="1" si="69"/>
        <v>#VALUE!</v>
      </c>
      <c r="I271" s="133">
        <f t="shared" ca="1" si="67"/>
        <v>0</v>
      </c>
      <c r="J271" s="136" t="s">
        <v>189</v>
      </c>
      <c r="W271" s="1121" t="str">
        <f ca="1">AB271&amp;"-"&amp;COUNTIF($AB$2:$AB271,$AB271)</f>
        <v>0-2-0-111</v>
      </c>
      <c r="X271" s="1121" t="s">
        <v>231</v>
      </c>
      <c r="Y271" s="1123">
        <f t="shared" ca="1" si="64"/>
        <v>0</v>
      </c>
      <c r="Z271" s="1126">
        <v>2</v>
      </c>
      <c r="AA271" s="1123">
        <f t="shared" ca="1" si="68"/>
        <v>0</v>
      </c>
      <c r="AB271" s="1125" t="str">
        <f t="shared" ca="1" si="70"/>
        <v>0-2-0</v>
      </c>
    </row>
    <row r="272" spans="1:28" ht="15" customHeight="1" x14ac:dyDescent="0.2">
      <c r="A272" s="130" t="s">
        <v>69</v>
      </c>
      <c r="B272" s="130" t="s">
        <v>86</v>
      </c>
      <c r="C272" s="130" t="s">
        <v>232</v>
      </c>
      <c r="D272" s="1112" t="s">
        <v>173</v>
      </c>
      <c r="E272" s="130">
        <v>3</v>
      </c>
      <c r="F272" s="100" t="str">
        <f t="shared" si="65"/>
        <v>SITUATION-23</v>
      </c>
      <c r="G272" s="100">
        <f t="shared" si="66"/>
        <v>4</v>
      </c>
      <c r="H272" s="133" t="e">
        <f t="shared" ca="1" si="69"/>
        <v>#VALUE!</v>
      </c>
      <c r="I272" s="133">
        <f t="shared" ca="1" si="67"/>
        <v>0</v>
      </c>
      <c r="J272" s="136" t="s">
        <v>190</v>
      </c>
      <c r="W272" s="1121" t="str">
        <f ca="1">AB272&amp;"-"&amp;COUNTIF($AB$2:$AB272,$AB272)</f>
        <v>0-3-0-70</v>
      </c>
      <c r="X272" s="1121" t="s">
        <v>232</v>
      </c>
      <c r="Y272" s="1123">
        <f t="shared" ca="1" si="64"/>
        <v>0</v>
      </c>
      <c r="Z272" s="1126">
        <v>3</v>
      </c>
      <c r="AA272" s="1123">
        <f t="shared" ca="1" si="68"/>
        <v>0</v>
      </c>
      <c r="AB272" s="1125" t="str">
        <f t="shared" ca="1" si="70"/>
        <v>0-3-0</v>
      </c>
    </row>
    <row r="273" spans="1:28" ht="15" customHeight="1" x14ac:dyDescent="0.2">
      <c r="A273" s="130" t="s">
        <v>69</v>
      </c>
      <c r="B273" s="130" t="s">
        <v>86</v>
      </c>
      <c r="C273" s="130" t="s">
        <v>233</v>
      </c>
      <c r="D273" s="1112" t="s">
        <v>175</v>
      </c>
      <c r="E273" s="130">
        <v>3</v>
      </c>
      <c r="F273" s="100" t="str">
        <f t="shared" si="65"/>
        <v>SITUATION-23</v>
      </c>
      <c r="G273" s="100">
        <f t="shared" si="66"/>
        <v>4</v>
      </c>
      <c r="H273" s="133" t="e">
        <f t="shared" ca="1" si="69"/>
        <v>#VALUE!</v>
      </c>
      <c r="I273" s="133">
        <f t="shared" ca="1" si="67"/>
        <v>0</v>
      </c>
      <c r="J273" s="136" t="s">
        <v>191</v>
      </c>
      <c r="W273" s="1121" t="str">
        <f ca="1">AB273&amp;"-"&amp;COUNTIF($AB$2:$AB273,$AB273)</f>
        <v>0-3-0-71</v>
      </c>
      <c r="X273" s="1121" t="s">
        <v>233</v>
      </c>
      <c r="Y273" s="1123">
        <f t="shared" ca="1" si="64"/>
        <v>0</v>
      </c>
      <c r="Z273" s="1126">
        <v>3</v>
      </c>
      <c r="AA273" s="1123">
        <f t="shared" ca="1" si="68"/>
        <v>0</v>
      </c>
      <c r="AB273" s="1125" t="str">
        <f t="shared" ca="1" si="70"/>
        <v>0-3-0</v>
      </c>
    </row>
    <row r="274" spans="1:28" ht="15" customHeight="1" x14ac:dyDescent="0.2">
      <c r="A274" s="130" t="s">
        <v>69</v>
      </c>
      <c r="B274" s="130" t="s">
        <v>86</v>
      </c>
      <c r="C274" s="130" t="s">
        <v>234</v>
      </c>
      <c r="D274" s="1112" t="s">
        <v>206</v>
      </c>
      <c r="E274" s="130">
        <v>3</v>
      </c>
      <c r="F274" s="100" t="str">
        <f t="shared" si="65"/>
        <v>SITUATION-23</v>
      </c>
      <c r="G274" s="100">
        <f t="shared" si="66"/>
        <v>4</v>
      </c>
      <c r="H274" s="133" t="e">
        <f t="shared" ca="1" si="69"/>
        <v>#VALUE!</v>
      </c>
      <c r="I274" s="133">
        <f t="shared" ca="1" si="67"/>
        <v>0</v>
      </c>
      <c r="J274" s="136" t="s">
        <v>192</v>
      </c>
      <c r="W274" s="1121" t="str">
        <f ca="1">AB274&amp;"-"&amp;COUNTIF($AB$2:$AB274,$AB274)</f>
        <v>0-3-0-72</v>
      </c>
      <c r="X274" s="1121" t="s">
        <v>234</v>
      </c>
      <c r="Y274" s="1123">
        <f t="shared" ca="1" si="64"/>
        <v>0</v>
      </c>
      <c r="Z274" s="1126">
        <v>3</v>
      </c>
      <c r="AA274" s="1123">
        <f t="shared" ca="1" si="68"/>
        <v>0</v>
      </c>
      <c r="AB274" s="1125" t="str">
        <f t="shared" ca="1" si="70"/>
        <v>0-3-0</v>
      </c>
    </row>
    <row r="275" spans="1:28" ht="15" customHeight="1" x14ac:dyDescent="0.2">
      <c r="A275" s="130" t="s">
        <v>69</v>
      </c>
      <c r="B275" s="130" t="s">
        <v>86</v>
      </c>
      <c r="C275" s="130" t="s">
        <v>235</v>
      </c>
      <c r="D275" s="1112" t="s">
        <v>208</v>
      </c>
      <c r="E275" s="130">
        <v>3</v>
      </c>
      <c r="F275" s="100" t="str">
        <f t="shared" si="65"/>
        <v>SITUATION-23</v>
      </c>
      <c r="G275" s="100">
        <f t="shared" si="66"/>
        <v>4</v>
      </c>
      <c r="H275" s="133" t="e">
        <f t="shared" ca="1" si="69"/>
        <v>#VALUE!</v>
      </c>
      <c r="I275" s="133">
        <f t="shared" ca="1" si="67"/>
        <v>0</v>
      </c>
      <c r="J275" s="136" t="s">
        <v>193</v>
      </c>
      <c r="W275" s="1121" t="str">
        <f ca="1">AB275&amp;"-"&amp;COUNTIF($AB$2:$AB275,$AB275)</f>
        <v>0-3-0-73</v>
      </c>
      <c r="X275" s="1121" t="s">
        <v>235</v>
      </c>
      <c r="Y275" s="1123">
        <f t="shared" ca="1" si="64"/>
        <v>0</v>
      </c>
      <c r="Z275" s="1126">
        <v>3</v>
      </c>
      <c r="AA275" s="1123">
        <f t="shared" ca="1" si="68"/>
        <v>0</v>
      </c>
      <c r="AB275" s="1125" t="str">
        <f t="shared" ca="1" si="70"/>
        <v>0-3-0</v>
      </c>
    </row>
    <row r="276" spans="1:28" ht="15" customHeight="1" x14ac:dyDescent="0.2">
      <c r="A276" s="130" t="s">
        <v>69</v>
      </c>
      <c r="B276" s="130" t="s">
        <v>88</v>
      </c>
      <c r="C276" s="130" t="s">
        <v>236</v>
      </c>
      <c r="D276" s="1112" t="s">
        <v>22</v>
      </c>
      <c r="E276" s="130">
        <v>2</v>
      </c>
      <c r="F276" s="100" t="str">
        <f t="shared" si="65"/>
        <v>SITUATION-32</v>
      </c>
      <c r="G276" s="100">
        <f t="shared" si="66"/>
        <v>3</v>
      </c>
      <c r="H276" s="133" t="e">
        <f t="shared" ca="1" si="69"/>
        <v>#VALUE!</v>
      </c>
      <c r="I276" s="133">
        <f t="shared" ca="1" si="67"/>
        <v>0</v>
      </c>
      <c r="J276" s="136" t="s">
        <v>195</v>
      </c>
      <c r="W276" s="1121" t="str">
        <f ca="1">AB276&amp;"-"&amp;COUNTIF($AB$2:$AB276,$AB276)</f>
        <v>1-2-0-16</v>
      </c>
      <c r="X276" s="1121" t="s">
        <v>236</v>
      </c>
      <c r="Y276" s="1123">
        <f t="shared" ca="1" si="64"/>
        <v>1</v>
      </c>
      <c r="Z276" s="1126">
        <v>2</v>
      </c>
      <c r="AA276" s="1123">
        <f t="shared" ca="1" si="68"/>
        <v>0</v>
      </c>
      <c r="AB276" s="1125" t="str">
        <f t="shared" ca="1" si="70"/>
        <v>1-2-0</v>
      </c>
    </row>
    <row r="277" spans="1:28" ht="15" customHeight="1" x14ac:dyDescent="0.2">
      <c r="A277" s="130" t="s">
        <v>69</v>
      </c>
      <c r="B277" s="130" t="s">
        <v>88</v>
      </c>
      <c r="C277" s="130" t="s">
        <v>237</v>
      </c>
      <c r="D277" s="1112" t="s">
        <v>23</v>
      </c>
      <c r="E277" s="130">
        <v>2</v>
      </c>
      <c r="F277" s="100" t="str">
        <f t="shared" si="65"/>
        <v>SITUATION-32</v>
      </c>
      <c r="G277" s="100">
        <f t="shared" si="66"/>
        <v>3</v>
      </c>
      <c r="H277" s="133" t="e">
        <f t="shared" ca="1" si="69"/>
        <v>#VALUE!</v>
      </c>
      <c r="I277" s="133">
        <f t="shared" ca="1" si="67"/>
        <v>0</v>
      </c>
      <c r="J277" s="136" t="s">
        <v>197</v>
      </c>
      <c r="W277" s="1121" t="str">
        <f ca="1">AB277&amp;"-"&amp;COUNTIF($AB$2:$AB277,$AB277)</f>
        <v>1-2-0-17</v>
      </c>
      <c r="X277" s="1121" t="s">
        <v>237</v>
      </c>
      <c r="Y277" s="1123">
        <f t="shared" ca="1" si="64"/>
        <v>1</v>
      </c>
      <c r="Z277" s="1126">
        <v>2</v>
      </c>
      <c r="AA277" s="1123">
        <f t="shared" ca="1" si="68"/>
        <v>0</v>
      </c>
      <c r="AB277" s="1125" t="str">
        <f t="shared" ca="1" si="70"/>
        <v>1-2-0</v>
      </c>
    </row>
    <row r="278" spans="1:28" ht="15" customHeight="1" x14ac:dyDescent="0.2">
      <c r="A278" s="130" t="s">
        <v>69</v>
      </c>
      <c r="B278" s="130" t="s">
        <v>88</v>
      </c>
      <c r="C278" s="130" t="s">
        <v>238</v>
      </c>
      <c r="D278" s="1112" t="s">
        <v>24</v>
      </c>
      <c r="E278" s="130">
        <v>2</v>
      </c>
      <c r="F278" s="100" t="str">
        <f t="shared" si="65"/>
        <v>SITUATION-32</v>
      </c>
      <c r="G278" s="100">
        <f t="shared" si="66"/>
        <v>3</v>
      </c>
      <c r="H278" s="133" t="e">
        <f t="shared" ca="1" si="69"/>
        <v>#VALUE!</v>
      </c>
      <c r="I278" s="133">
        <f t="shared" ca="1" si="67"/>
        <v>0</v>
      </c>
      <c r="J278" s="136" t="s">
        <v>198</v>
      </c>
      <c r="W278" s="1121" t="str">
        <f ca="1">AB278&amp;"-"&amp;COUNTIF($AB$2:$AB278,$AB278)</f>
        <v>1-2-0-18</v>
      </c>
      <c r="X278" s="1121" t="s">
        <v>238</v>
      </c>
      <c r="Y278" s="1123">
        <f t="shared" ref="Y278:Y309" ca="1" si="71">VLOOKUP(LEFT($X278,LEN($X278)-1),$K:$O,5,FALSE)</f>
        <v>1</v>
      </c>
      <c r="Z278" s="1126">
        <v>2</v>
      </c>
      <c r="AA278" s="1123">
        <f t="shared" ca="1" si="68"/>
        <v>0</v>
      </c>
      <c r="AB278" s="1125" t="str">
        <f t="shared" ca="1" si="70"/>
        <v>1-2-0</v>
      </c>
    </row>
    <row r="279" spans="1:28" ht="15" customHeight="1" x14ac:dyDescent="0.2">
      <c r="A279" s="130" t="s">
        <v>69</v>
      </c>
      <c r="B279" s="130" t="s">
        <v>88</v>
      </c>
      <c r="C279" s="130" t="s">
        <v>239</v>
      </c>
      <c r="D279" s="1112" t="s">
        <v>25</v>
      </c>
      <c r="E279" s="130">
        <v>3</v>
      </c>
      <c r="F279" s="100" t="str">
        <f t="shared" si="65"/>
        <v>SITUATION-33</v>
      </c>
      <c r="G279" s="100">
        <f t="shared" si="66"/>
        <v>5</v>
      </c>
      <c r="H279" s="133" t="e">
        <f t="shared" ca="1" si="69"/>
        <v>#VALUE!</v>
      </c>
      <c r="I279" s="133">
        <f t="shared" ca="1" si="67"/>
        <v>0</v>
      </c>
      <c r="J279" s="136" t="s">
        <v>199</v>
      </c>
      <c r="W279" s="1121" t="str">
        <f ca="1">AB279&amp;"-"&amp;COUNTIF($AB$2:$AB279,$AB279)</f>
        <v>1-3-0-30</v>
      </c>
      <c r="X279" s="1121" t="s">
        <v>239</v>
      </c>
      <c r="Y279" s="1123">
        <f t="shared" ca="1" si="71"/>
        <v>1</v>
      </c>
      <c r="Z279" s="1126">
        <v>3</v>
      </c>
      <c r="AA279" s="1123">
        <f t="shared" ca="1" si="68"/>
        <v>0</v>
      </c>
      <c r="AB279" s="1125" t="str">
        <f t="shared" ca="1" si="70"/>
        <v>1-3-0</v>
      </c>
    </row>
    <row r="280" spans="1:28" ht="15" customHeight="1" x14ac:dyDescent="0.2">
      <c r="A280" s="130" t="s">
        <v>69</v>
      </c>
      <c r="B280" s="130" t="s">
        <v>88</v>
      </c>
      <c r="C280" s="130" t="s">
        <v>240</v>
      </c>
      <c r="D280" s="1112" t="s">
        <v>26</v>
      </c>
      <c r="E280" s="130">
        <v>3</v>
      </c>
      <c r="F280" s="100" t="str">
        <f t="shared" si="65"/>
        <v>SITUATION-33</v>
      </c>
      <c r="G280" s="100">
        <f t="shared" si="66"/>
        <v>5</v>
      </c>
      <c r="H280" s="133" t="e">
        <f t="shared" ca="1" si="69"/>
        <v>#VALUE!</v>
      </c>
      <c r="I280" s="133">
        <f t="shared" ca="1" si="67"/>
        <v>0</v>
      </c>
      <c r="J280" s="136" t="s">
        <v>200</v>
      </c>
      <c r="W280" s="1121" t="str">
        <f ca="1">AB280&amp;"-"&amp;COUNTIF($AB$2:$AB280,$AB280)</f>
        <v>1-3-0-31</v>
      </c>
      <c r="X280" s="1121" t="s">
        <v>240</v>
      </c>
      <c r="Y280" s="1123">
        <f t="shared" ca="1" si="71"/>
        <v>1</v>
      </c>
      <c r="Z280" s="1126">
        <v>3</v>
      </c>
      <c r="AA280" s="1123">
        <f t="shared" ca="1" si="68"/>
        <v>0</v>
      </c>
      <c r="AB280" s="1125" t="str">
        <f t="shared" ca="1" si="70"/>
        <v>1-3-0</v>
      </c>
    </row>
    <row r="281" spans="1:28" ht="15" customHeight="1" x14ac:dyDescent="0.2">
      <c r="A281" s="130" t="s">
        <v>69</v>
      </c>
      <c r="B281" s="130" t="s">
        <v>88</v>
      </c>
      <c r="C281" s="130" t="s">
        <v>241</v>
      </c>
      <c r="D281" s="1112" t="s">
        <v>27</v>
      </c>
      <c r="E281" s="130">
        <v>3</v>
      </c>
      <c r="F281" s="100" t="str">
        <f t="shared" si="65"/>
        <v>SITUATION-33</v>
      </c>
      <c r="G281" s="100">
        <f t="shared" si="66"/>
        <v>5</v>
      </c>
      <c r="H281" s="133" t="e">
        <f t="shared" ca="1" si="69"/>
        <v>#VALUE!</v>
      </c>
      <c r="I281" s="133">
        <f t="shared" ca="1" si="67"/>
        <v>0</v>
      </c>
      <c r="J281" s="136" t="s">
        <v>201</v>
      </c>
      <c r="W281" s="1121" t="str">
        <f ca="1">AB281&amp;"-"&amp;COUNTIF($AB$2:$AB281,$AB281)</f>
        <v>1-3-0-32</v>
      </c>
      <c r="X281" s="1121" t="s">
        <v>241</v>
      </c>
      <c r="Y281" s="1123">
        <f t="shared" ca="1" si="71"/>
        <v>1</v>
      </c>
      <c r="Z281" s="1126">
        <v>3</v>
      </c>
      <c r="AA281" s="1123">
        <f t="shared" ca="1" si="68"/>
        <v>0</v>
      </c>
      <c r="AB281" s="1125" t="str">
        <f t="shared" ca="1" si="70"/>
        <v>1-3-0</v>
      </c>
    </row>
    <row r="282" spans="1:28" ht="15" customHeight="1" x14ac:dyDescent="0.2">
      <c r="A282" s="130" t="s">
        <v>69</v>
      </c>
      <c r="B282" s="130" t="s">
        <v>88</v>
      </c>
      <c r="C282" s="130" t="s">
        <v>242</v>
      </c>
      <c r="D282" s="1112" t="s">
        <v>28</v>
      </c>
      <c r="E282" s="130">
        <v>3</v>
      </c>
      <c r="F282" s="100" t="str">
        <f t="shared" si="65"/>
        <v>SITUATION-33</v>
      </c>
      <c r="G282" s="100">
        <f t="shared" si="66"/>
        <v>5</v>
      </c>
      <c r="H282" s="133" t="e">
        <f t="shared" ca="1" si="69"/>
        <v>#VALUE!</v>
      </c>
      <c r="I282" s="133">
        <f t="shared" ca="1" si="67"/>
        <v>0</v>
      </c>
      <c r="J282" s="136" t="s">
        <v>202</v>
      </c>
      <c r="W282" s="1121" t="str">
        <f ca="1">AB282&amp;"-"&amp;COUNTIF($AB$2:$AB282,$AB282)</f>
        <v>1-3-0-33</v>
      </c>
      <c r="X282" s="1121" t="s">
        <v>242</v>
      </c>
      <c r="Y282" s="1123">
        <f t="shared" ca="1" si="71"/>
        <v>1</v>
      </c>
      <c r="Z282" s="1126">
        <v>3</v>
      </c>
      <c r="AA282" s="1123">
        <f t="shared" ca="1" si="68"/>
        <v>0</v>
      </c>
      <c r="AB282" s="1125" t="str">
        <f t="shared" ca="1" si="70"/>
        <v>1-3-0</v>
      </c>
    </row>
    <row r="283" spans="1:28" ht="15" customHeight="1" x14ac:dyDescent="0.2">
      <c r="A283" s="130" t="s">
        <v>69</v>
      </c>
      <c r="B283" s="130" t="s">
        <v>88</v>
      </c>
      <c r="C283" s="130" t="s">
        <v>243</v>
      </c>
      <c r="D283" s="1112" t="s">
        <v>244</v>
      </c>
      <c r="E283" s="130">
        <v>3</v>
      </c>
      <c r="F283" s="100" t="str">
        <f t="shared" si="65"/>
        <v>SITUATION-33</v>
      </c>
      <c r="G283" s="100">
        <f t="shared" si="66"/>
        <v>5</v>
      </c>
      <c r="H283" s="133" t="e">
        <f t="shared" ca="1" si="69"/>
        <v>#VALUE!</v>
      </c>
      <c r="I283" s="133">
        <f t="shared" ca="1" si="67"/>
        <v>0</v>
      </c>
      <c r="J283" s="136" t="s">
        <v>203</v>
      </c>
      <c r="W283" s="1121" t="str">
        <f ca="1">AB283&amp;"-"&amp;COUNTIF($AB$2:$AB283,$AB283)</f>
        <v>1-3-0-34</v>
      </c>
      <c r="X283" s="1121" t="s">
        <v>243</v>
      </c>
      <c r="Y283" s="1123">
        <f t="shared" ca="1" si="71"/>
        <v>1</v>
      </c>
      <c r="Z283" s="1126">
        <v>3</v>
      </c>
      <c r="AA283" s="1123">
        <f t="shared" ca="1" si="68"/>
        <v>0</v>
      </c>
      <c r="AB283" s="1125" t="str">
        <f t="shared" ca="1" si="70"/>
        <v>1-3-0</v>
      </c>
    </row>
    <row r="284" spans="1:28" ht="15" customHeight="1" x14ac:dyDescent="0.2">
      <c r="A284" s="130" t="s">
        <v>69</v>
      </c>
      <c r="B284" s="130" t="s">
        <v>90</v>
      </c>
      <c r="C284" s="130" t="s">
        <v>245</v>
      </c>
      <c r="D284" s="1112" t="s">
        <v>123</v>
      </c>
      <c r="E284" s="130">
        <v>2</v>
      </c>
      <c r="F284" s="100" t="str">
        <f t="shared" si="65"/>
        <v>SITUATION-42</v>
      </c>
      <c r="G284" s="100">
        <f t="shared" si="66"/>
        <v>2</v>
      </c>
      <c r="H284" s="133" t="e">
        <f t="shared" ca="1" si="69"/>
        <v>#VALUE!</v>
      </c>
      <c r="I284" s="133">
        <f t="shared" ca="1" si="67"/>
        <v>0</v>
      </c>
      <c r="J284" s="136" t="s">
        <v>204</v>
      </c>
      <c r="W284" s="1121" t="str">
        <f ca="1">AB284&amp;"-"&amp;COUNTIF($AB$2:$AB284,$AB284)</f>
        <v>1-2-0-19</v>
      </c>
      <c r="X284" s="1121" t="s">
        <v>245</v>
      </c>
      <c r="Y284" s="1123">
        <f t="shared" ca="1" si="71"/>
        <v>1</v>
      </c>
      <c r="Z284" s="1126">
        <v>2</v>
      </c>
      <c r="AA284" s="1123">
        <f t="shared" ca="1" si="68"/>
        <v>0</v>
      </c>
      <c r="AB284" s="1125" t="str">
        <f t="shared" ca="1" si="70"/>
        <v>1-2-0</v>
      </c>
    </row>
    <row r="285" spans="1:28" ht="15" customHeight="1" x14ac:dyDescent="0.2">
      <c r="A285" s="130" t="s">
        <v>69</v>
      </c>
      <c r="B285" s="130" t="s">
        <v>90</v>
      </c>
      <c r="C285" s="130" t="s">
        <v>246</v>
      </c>
      <c r="D285" s="1112" t="s">
        <v>126</v>
      </c>
      <c r="E285" s="130">
        <v>2</v>
      </c>
      <c r="F285" s="100" t="str">
        <f t="shared" si="65"/>
        <v>SITUATION-42</v>
      </c>
      <c r="G285" s="100">
        <f t="shared" si="66"/>
        <v>2</v>
      </c>
      <c r="H285" s="133" t="e">
        <f t="shared" ca="1" si="69"/>
        <v>#VALUE!</v>
      </c>
      <c r="I285" s="133">
        <f t="shared" ca="1" si="67"/>
        <v>0</v>
      </c>
      <c r="J285" s="136" t="s">
        <v>205</v>
      </c>
      <c r="W285" s="1121" t="str">
        <f ca="1">AB285&amp;"-"&amp;COUNTIF($AB$2:$AB285,$AB285)</f>
        <v>1-2-0-20</v>
      </c>
      <c r="X285" s="1121" t="s">
        <v>246</v>
      </c>
      <c r="Y285" s="1123">
        <f t="shared" ca="1" si="71"/>
        <v>1</v>
      </c>
      <c r="Z285" s="1126">
        <v>2</v>
      </c>
      <c r="AA285" s="1123">
        <f t="shared" ca="1" si="68"/>
        <v>0</v>
      </c>
      <c r="AB285" s="1125" t="str">
        <f t="shared" ca="1" si="70"/>
        <v>1-2-0</v>
      </c>
    </row>
    <row r="286" spans="1:28" ht="15" customHeight="1" x14ac:dyDescent="0.2">
      <c r="A286" s="130" t="s">
        <v>69</v>
      </c>
      <c r="B286" s="130" t="s">
        <v>90</v>
      </c>
      <c r="C286" s="130" t="s">
        <v>247</v>
      </c>
      <c r="D286" s="1112" t="s">
        <v>129</v>
      </c>
      <c r="E286" s="130">
        <v>3</v>
      </c>
      <c r="F286" s="100" t="str">
        <f t="shared" si="65"/>
        <v>SITUATION-43</v>
      </c>
      <c r="G286" s="100">
        <f t="shared" si="66"/>
        <v>4</v>
      </c>
      <c r="H286" s="133" t="e">
        <f t="shared" ca="1" si="69"/>
        <v>#VALUE!</v>
      </c>
      <c r="I286" s="133">
        <f t="shared" ca="1" si="67"/>
        <v>0</v>
      </c>
      <c r="J286" s="136" t="s">
        <v>207</v>
      </c>
      <c r="W286" s="1121" t="str">
        <f ca="1">AB286&amp;"-"&amp;COUNTIF($AB$2:$AB286,$AB286)</f>
        <v>1-3-0-35</v>
      </c>
      <c r="X286" s="1121" t="s">
        <v>247</v>
      </c>
      <c r="Y286" s="1123">
        <f t="shared" ca="1" si="71"/>
        <v>1</v>
      </c>
      <c r="Z286" s="1126">
        <v>3</v>
      </c>
      <c r="AA286" s="1123">
        <f t="shared" ca="1" si="68"/>
        <v>0</v>
      </c>
      <c r="AB286" s="1125" t="str">
        <f t="shared" ca="1" si="70"/>
        <v>1-3-0</v>
      </c>
    </row>
    <row r="287" spans="1:28" ht="15" customHeight="1" x14ac:dyDescent="0.2">
      <c r="A287" s="130" t="s">
        <v>69</v>
      </c>
      <c r="B287" s="130" t="s">
        <v>90</v>
      </c>
      <c r="C287" s="130" t="s">
        <v>248</v>
      </c>
      <c r="D287" s="1112" t="s">
        <v>132</v>
      </c>
      <c r="E287" s="130">
        <v>3</v>
      </c>
      <c r="F287" s="100" t="str">
        <f t="shared" si="65"/>
        <v>SITUATION-43</v>
      </c>
      <c r="G287" s="100">
        <f t="shared" si="66"/>
        <v>4</v>
      </c>
      <c r="H287" s="133" t="e">
        <f t="shared" ca="1" si="69"/>
        <v>#VALUE!</v>
      </c>
      <c r="I287" s="133">
        <f t="shared" ca="1" si="67"/>
        <v>0</v>
      </c>
      <c r="J287" s="136" t="s">
        <v>209</v>
      </c>
      <c r="W287" s="1121" t="str">
        <f ca="1">AB287&amp;"-"&amp;COUNTIF($AB$2:$AB287,$AB287)</f>
        <v>1-3-0-36</v>
      </c>
      <c r="X287" s="1121" t="s">
        <v>248</v>
      </c>
      <c r="Y287" s="1123">
        <f t="shared" ca="1" si="71"/>
        <v>1</v>
      </c>
      <c r="Z287" s="1126">
        <v>3</v>
      </c>
      <c r="AA287" s="1123">
        <f t="shared" ca="1" si="68"/>
        <v>0</v>
      </c>
      <c r="AB287" s="1125" t="str">
        <f t="shared" ca="1" si="70"/>
        <v>1-3-0</v>
      </c>
    </row>
    <row r="288" spans="1:28" ht="15" customHeight="1" x14ac:dyDescent="0.2">
      <c r="A288" s="130" t="s">
        <v>69</v>
      </c>
      <c r="B288" s="130" t="s">
        <v>90</v>
      </c>
      <c r="C288" s="130" t="s">
        <v>249</v>
      </c>
      <c r="D288" s="1112" t="s">
        <v>135</v>
      </c>
      <c r="E288" s="130">
        <v>3</v>
      </c>
      <c r="F288" s="100" t="str">
        <f t="shared" si="65"/>
        <v>SITUATION-43</v>
      </c>
      <c r="G288" s="100">
        <f t="shared" si="66"/>
        <v>4</v>
      </c>
      <c r="H288" s="133" t="e">
        <f t="shared" ca="1" si="69"/>
        <v>#VALUE!</v>
      </c>
      <c r="I288" s="133">
        <f t="shared" ca="1" si="67"/>
        <v>0</v>
      </c>
      <c r="J288" s="136" t="s">
        <v>211</v>
      </c>
      <c r="W288" s="1121" t="str">
        <f ca="1">AB288&amp;"-"&amp;COUNTIF($AB$2:$AB288,$AB288)</f>
        <v>1-3-0-37</v>
      </c>
      <c r="X288" s="1121" t="s">
        <v>249</v>
      </c>
      <c r="Y288" s="1123">
        <f t="shared" ca="1" si="71"/>
        <v>1</v>
      </c>
      <c r="Z288" s="1126">
        <v>3</v>
      </c>
      <c r="AA288" s="1123">
        <f t="shared" ca="1" si="68"/>
        <v>0</v>
      </c>
      <c r="AB288" s="1125" t="str">
        <f t="shared" ca="1" si="70"/>
        <v>1-3-0</v>
      </c>
    </row>
    <row r="289" spans="1:28" ht="15" customHeight="1" x14ac:dyDescent="0.2">
      <c r="A289" s="130" t="s">
        <v>69</v>
      </c>
      <c r="B289" s="130" t="s">
        <v>90</v>
      </c>
      <c r="C289" s="130" t="s">
        <v>250</v>
      </c>
      <c r="D289" s="1112" t="s">
        <v>137</v>
      </c>
      <c r="E289" s="130">
        <v>3</v>
      </c>
      <c r="F289" s="100" t="str">
        <f t="shared" si="65"/>
        <v>SITUATION-43</v>
      </c>
      <c r="G289" s="100">
        <f t="shared" si="66"/>
        <v>4</v>
      </c>
      <c r="H289" s="133" t="e">
        <f t="shared" ca="1" si="69"/>
        <v>#VALUE!</v>
      </c>
      <c r="I289" s="133">
        <f t="shared" ca="1" si="67"/>
        <v>0</v>
      </c>
      <c r="J289" s="136" t="s">
        <v>213</v>
      </c>
      <c r="W289" s="1121" t="str">
        <f ca="1">AB289&amp;"-"&amp;COUNTIF($AB$2:$AB289,$AB289)</f>
        <v>1-3-0-38</v>
      </c>
      <c r="X289" s="1121" t="s">
        <v>250</v>
      </c>
      <c r="Y289" s="1123">
        <f t="shared" ca="1" si="71"/>
        <v>1</v>
      </c>
      <c r="Z289" s="1126">
        <v>3</v>
      </c>
      <c r="AA289" s="1123">
        <f t="shared" ca="1" si="68"/>
        <v>0</v>
      </c>
      <c r="AB289" s="1125" t="str">
        <f t="shared" ca="1" si="70"/>
        <v>1-3-0</v>
      </c>
    </row>
    <row r="290" spans="1:28" ht="15" customHeight="1" x14ac:dyDescent="0.2">
      <c r="A290" s="130" t="s">
        <v>1145</v>
      </c>
      <c r="B290" s="130" t="s">
        <v>1121</v>
      </c>
      <c r="C290" s="130" t="s">
        <v>1122</v>
      </c>
      <c r="D290" s="1112" t="s">
        <v>5</v>
      </c>
      <c r="E290" s="130">
        <v>1</v>
      </c>
      <c r="F290" s="100" t="str">
        <f t="shared" si="65"/>
        <v>THIRDPARTY-11</v>
      </c>
      <c r="G290" s="100">
        <f t="shared" si="66"/>
        <v>2</v>
      </c>
      <c r="H290" s="133" t="e">
        <f t="shared" ca="1" si="69"/>
        <v>#VALUE!</v>
      </c>
      <c r="I290" s="133">
        <f t="shared" ca="1" si="67"/>
        <v>0</v>
      </c>
      <c r="J290" s="136" t="s">
        <v>215</v>
      </c>
      <c r="W290" s="1121" t="str">
        <f ca="1">AB290&amp;"-"&amp;COUNTIF($AB$2:$AB290,$AB290)</f>
        <v>0-1-0-47</v>
      </c>
      <c r="X290" s="1121" t="s">
        <v>1122</v>
      </c>
      <c r="Y290" s="1123">
        <f t="shared" ca="1" si="71"/>
        <v>0</v>
      </c>
      <c r="Z290" s="1126">
        <v>1</v>
      </c>
      <c r="AA290" s="1123">
        <f t="shared" ca="1" si="68"/>
        <v>0</v>
      </c>
      <c r="AB290" s="1125" t="str">
        <f t="shared" ca="1" si="70"/>
        <v>0-1-0</v>
      </c>
    </row>
    <row r="291" spans="1:28" ht="15" customHeight="1" x14ac:dyDescent="0.2">
      <c r="A291" s="130" t="s">
        <v>1145</v>
      </c>
      <c r="B291" s="130" t="s">
        <v>1121</v>
      </c>
      <c r="C291" s="131" t="s">
        <v>1123</v>
      </c>
      <c r="D291" s="1113" t="s">
        <v>7</v>
      </c>
      <c r="E291" s="130">
        <v>1</v>
      </c>
      <c r="F291" s="100" t="str">
        <f t="shared" si="65"/>
        <v>THIRDPARTY-11</v>
      </c>
      <c r="G291" s="100">
        <f t="shared" si="66"/>
        <v>2</v>
      </c>
      <c r="H291" s="133" t="e">
        <f t="shared" ca="1" si="69"/>
        <v>#VALUE!</v>
      </c>
      <c r="I291" s="133">
        <f t="shared" ca="1" si="67"/>
        <v>0</v>
      </c>
      <c r="J291" s="136" t="s">
        <v>216</v>
      </c>
      <c r="W291" s="1121" t="str">
        <f ca="1">AB291&amp;"-"&amp;COUNTIF($AB$2:$AB291,$AB291)</f>
        <v>0-1-0-48</v>
      </c>
      <c r="X291" s="1121" t="s">
        <v>1123</v>
      </c>
      <c r="Y291" s="1123">
        <f t="shared" ca="1" si="71"/>
        <v>0</v>
      </c>
      <c r="Z291" s="1126">
        <v>1</v>
      </c>
      <c r="AA291" s="1123">
        <f t="shared" ca="1" si="68"/>
        <v>0</v>
      </c>
      <c r="AB291" s="1125" t="str">
        <f t="shared" ca="1" si="70"/>
        <v>0-1-0</v>
      </c>
    </row>
    <row r="292" spans="1:28" ht="15" customHeight="1" x14ac:dyDescent="0.2">
      <c r="A292" s="130" t="s">
        <v>1145</v>
      </c>
      <c r="B292" s="130" t="s">
        <v>1121</v>
      </c>
      <c r="C292" s="132" t="s">
        <v>1124</v>
      </c>
      <c r="D292" s="1114" t="s">
        <v>8</v>
      </c>
      <c r="E292" s="131">
        <v>2</v>
      </c>
      <c r="F292" s="100" t="str">
        <f t="shared" si="65"/>
        <v>THIRDPARTY-12</v>
      </c>
      <c r="G292" s="100">
        <f t="shared" si="66"/>
        <v>2</v>
      </c>
      <c r="H292" s="133" t="e">
        <f t="shared" ca="1" si="69"/>
        <v>#VALUE!</v>
      </c>
      <c r="I292" s="133">
        <f t="shared" ca="1" si="67"/>
        <v>0</v>
      </c>
      <c r="J292" s="136" t="s">
        <v>217</v>
      </c>
      <c r="W292" s="1121" t="str">
        <f ca="1">AB292&amp;"-"&amp;COUNTIF($AB$2:$AB292,$AB292)</f>
        <v>0-2-0-112</v>
      </c>
      <c r="X292" s="1121" t="s">
        <v>1124</v>
      </c>
      <c r="Y292" s="1123">
        <f t="shared" ca="1" si="71"/>
        <v>0</v>
      </c>
      <c r="Z292" s="1126">
        <v>2</v>
      </c>
      <c r="AA292" s="1123">
        <f t="shared" ca="1" si="68"/>
        <v>0</v>
      </c>
      <c r="AB292" s="1125" t="str">
        <f t="shared" ca="1" si="70"/>
        <v>0-2-0</v>
      </c>
    </row>
    <row r="293" spans="1:28" ht="15" customHeight="1" x14ac:dyDescent="0.2">
      <c r="A293" s="130" t="s">
        <v>1145</v>
      </c>
      <c r="B293" s="130" t="s">
        <v>1121</v>
      </c>
      <c r="C293" s="132" t="s">
        <v>1125</v>
      </c>
      <c r="D293" s="1114" t="s">
        <v>9</v>
      </c>
      <c r="E293" s="132">
        <v>2</v>
      </c>
      <c r="F293" s="100" t="str">
        <f t="shared" si="65"/>
        <v>THIRDPARTY-12</v>
      </c>
      <c r="G293" s="100">
        <f t="shared" si="66"/>
        <v>2</v>
      </c>
      <c r="H293" s="133" t="e">
        <f t="shared" ca="1" si="69"/>
        <v>#VALUE!</v>
      </c>
      <c r="I293" s="133">
        <f t="shared" ca="1" si="67"/>
        <v>0</v>
      </c>
      <c r="J293" s="136" t="s">
        <v>218</v>
      </c>
      <c r="W293" s="1121" t="str">
        <f ca="1">AB293&amp;"-"&amp;COUNTIF($AB$2:$AB293,$AB293)</f>
        <v>0-2-0-113</v>
      </c>
      <c r="X293" s="1121" t="s">
        <v>1125</v>
      </c>
      <c r="Y293" s="1123">
        <f t="shared" ca="1" si="71"/>
        <v>0</v>
      </c>
      <c r="Z293" s="1126">
        <v>2</v>
      </c>
      <c r="AA293" s="1123">
        <f t="shared" ca="1" si="68"/>
        <v>0</v>
      </c>
      <c r="AB293" s="1125" t="str">
        <f t="shared" ca="1" si="70"/>
        <v>0-2-0</v>
      </c>
    </row>
    <row r="294" spans="1:28" ht="15" customHeight="1" x14ac:dyDescent="0.2">
      <c r="A294" s="130" t="s">
        <v>1145</v>
      </c>
      <c r="B294" s="130" t="s">
        <v>1121</v>
      </c>
      <c r="C294" s="132" t="s">
        <v>1126</v>
      </c>
      <c r="D294" s="1114" t="s">
        <v>10</v>
      </c>
      <c r="E294" s="132">
        <v>3</v>
      </c>
      <c r="F294" s="100" t="str">
        <f t="shared" si="65"/>
        <v>THIRDPARTY-13</v>
      </c>
      <c r="G294" s="100">
        <f t="shared" si="66"/>
        <v>1</v>
      </c>
      <c r="H294" s="133" t="e">
        <f t="shared" ca="1" si="69"/>
        <v>#VALUE!</v>
      </c>
      <c r="I294" s="133">
        <f t="shared" ca="1" si="67"/>
        <v>0</v>
      </c>
      <c r="J294" s="136" t="s">
        <v>219</v>
      </c>
      <c r="W294" s="1121" t="str">
        <f ca="1">AB294&amp;"-"&amp;COUNTIF($AB$2:$AB294,$AB294)</f>
        <v>0-3-0-74</v>
      </c>
      <c r="X294" s="1121" t="s">
        <v>1126</v>
      </c>
      <c r="Y294" s="1123">
        <f t="shared" ca="1" si="71"/>
        <v>0</v>
      </c>
      <c r="Z294" s="1126">
        <v>3</v>
      </c>
      <c r="AA294" s="1123">
        <f t="shared" ca="1" si="68"/>
        <v>0</v>
      </c>
      <c r="AB294" s="1125" t="str">
        <f t="shared" ca="1" si="70"/>
        <v>0-3-0</v>
      </c>
    </row>
    <row r="295" spans="1:28" ht="15" customHeight="1" x14ac:dyDescent="0.2">
      <c r="A295" s="130" t="s">
        <v>1145</v>
      </c>
      <c r="B295" s="132" t="s">
        <v>1127</v>
      </c>
      <c r="C295" s="132" t="s">
        <v>1128</v>
      </c>
      <c r="D295" s="1114" t="s">
        <v>17</v>
      </c>
      <c r="E295" s="132">
        <v>1</v>
      </c>
      <c r="F295" s="100" t="str">
        <f t="shared" si="65"/>
        <v>THIRDPARTY-21</v>
      </c>
      <c r="G295" s="100">
        <f t="shared" si="66"/>
        <v>2</v>
      </c>
      <c r="H295" s="133" t="e">
        <f t="shared" ca="1" si="69"/>
        <v>#VALUE!</v>
      </c>
      <c r="I295" s="133">
        <f t="shared" ca="1" si="67"/>
        <v>0</v>
      </c>
      <c r="J295" s="136" t="s">
        <v>220</v>
      </c>
      <c r="W295" s="1121" t="str">
        <f ca="1">AB295&amp;"-"&amp;COUNTIF($AB$2:$AB295,$AB295)</f>
        <v>0-1-0-49</v>
      </c>
      <c r="X295" s="1121" t="s">
        <v>1128</v>
      </c>
      <c r="Y295" s="1123">
        <f t="shared" ca="1" si="71"/>
        <v>0</v>
      </c>
      <c r="Z295" s="1126">
        <v>1</v>
      </c>
      <c r="AA295" s="1123">
        <f t="shared" ca="1" si="68"/>
        <v>0</v>
      </c>
      <c r="AB295" s="1125" t="str">
        <f t="shared" ca="1" si="70"/>
        <v>0-1-0</v>
      </c>
    </row>
    <row r="296" spans="1:28" ht="15" customHeight="1" x14ac:dyDescent="0.2">
      <c r="A296" s="130" t="s">
        <v>1145</v>
      </c>
      <c r="B296" s="132" t="s">
        <v>1127</v>
      </c>
      <c r="C296" s="130" t="s">
        <v>1129</v>
      </c>
      <c r="D296" s="1112" t="s">
        <v>18</v>
      </c>
      <c r="E296" s="132">
        <v>1</v>
      </c>
      <c r="F296" s="100" t="str">
        <f t="shared" si="65"/>
        <v>THIRDPARTY-21</v>
      </c>
      <c r="G296" s="100">
        <f t="shared" si="66"/>
        <v>2</v>
      </c>
      <c r="H296" s="133" t="e">
        <f t="shared" ca="1" si="69"/>
        <v>#VALUE!</v>
      </c>
      <c r="I296" s="133">
        <f t="shared" ca="1" si="67"/>
        <v>0</v>
      </c>
      <c r="J296" s="136" t="s">
        <v>221</v>
      </c>
      <c r="W296" s="1121" t="str">
        <f ca="1">AB296&amp;"-"&amp;COUNTIF($AB$2:$AB296,$AB296)</f>
        <v>0-1-0-50</v>
      </c>
      <c r="X296" s="1121" t="s">
        <v>1129</v>
      </c>
      <c r="Y296" s="1123">
        <f t="shared" ca="1" si="71"/>
        <v>0</v>
      </c>
      <c r="Z296" s="1126">
        <v>1</v>
      </c>
      <c r="AA296" s="1123">
        <f t="shared" ca="1" si="68"/>
        <v>0</v>
      </c>
      <c r="AB296" s="1125" t="str">
        <f t="shared" ca="1" si="70"/>
        <v>0-1-0</v>
      </c>
    </row>
    <row r="297" spans="1:28" ht="15" customHeight="1" x14ac:dyDescent="0.2">
      <c r="A297" s="130" t="s">
        <v>1145</v>
      </c>
      <c r="B297" s="132" t="s">
        <v>1127</v>
      </c>
      <c r="C297" s="130" t="s">
        <v>1130</v>
      </c>
      <c r="D297" s="1112" t="s">
        <v>19</v>
      </c>
      <c r="E297" s="130">
        <v>2</v>
      </c>
      <c r="F297" s="100" t="str">
        <f t="shared" si="65"/>
        <v>THIRDPARTY-22</v>
      </c>
      <c r="G297" s="100">
        <f t="shared" si="66"/>
        <v>5</v>
      </c>
      <c r="H297" s="133" t="e">
        <f t="shared" ca="1" si="69"/>
        <v>#VALUE!</v>
      </c>
      <c r="I297" s="133">
        <f t="shared" ca="1" si="67"/>
        <v>0</v>
      </c>
      <c r="J297" s="136" t="s">
        <v>315</v>
      </c>
      <c r="W297" s="1121" t="str">
        <f ca="1">AB297&amp;"-"&amp;COUNTIF($AB$2:$AB297,$AB297)</f>
        <v>0-2-0-114</v>
      </c>
      <c r="X297" s="1121" t="s">
        <v>1130</v>
      </c>
      <c r="Y297" s="1123">
        <f t="shared" ca="1" si="71"/>
        <v>0</v>
      </c>
      <c r="Z297" s="1126">
        <v>2</v>
      </c>
      <c r="AA297" s="1123">
        <f t="shared" ca="1" si="68"/>
        <v>0</v>
      </c>
      <c r="AB297" s="1125" t="str">
        <f t="shared" ca="1" si="70"/>
        <v>0-2-0</v>
      </c>
    </row>
    <row r="298" spans="1:28" ht="15" customHeight="1" x14ac:dyDescent="0.2">
      <c r="A298" s="130" t="s">
        <v>1145</v>
      </c>
      <c r="B298" s="132" t="s">
        <v>1127</v>
      </c>
      <c r="C298" s="130" t="s">
        <v>1131</v>
      </c>
      <c r="D298" s="1112" t="s">
        <v>20</v>
      </c>
      <c r="E298" s="130">
        <v>2</v>
      </c>
      <c r="F298" s="100" t="str">
        <f t="shared" si="65"/>
        <v>THIRDPARTY-22</v>
      </c>
      <c r="G298" s="100">
        <f t="shared" si="66"/>
        <v>5</v>
      </c>
      <c r="H298" s="133" t="e">
        <f t="shared" ca="1" si="69"/>
        <v>#VALUE!</v>
      </c>
      <c r="I298" s="133">
        <f t="shared" ca="1" si="67"/>
        <v>0</v>
      </c>
      <c r="J298" s="136" t="s">
        <v>316</v>
      </c>
      <c r="W298" s="1121" t="str">
        <f ca="1">AB298&amp;"-"&amp;COUNTIF($AB$2:$AB298,$AB298)</f>
        <v>0-2-0-115</v>
      </c>
      <c r="X298" s="1121" t="s">
        <v>1131</v>
      </c>
      <c r="Y298" s="1123">
        <f t="shared" ca="1" si="71"/>
        <v>0</v>
      </c>
      <c r="Z298" s="1126">
        <v>2</v>
      </c>
      <c r="AA298" s="1123">
        <f t="shared" ca="1" si="68"/>
        <v>0</v>
      </c>
      <c r="AB298" s="1125" t="str">
        <f t="shared" ca="1" si="70"/>
        <v>0-2-0</v>
      </c>
    </row>
    <row r="299" spans="1:28" ht="15" customHeight="1" x14ac:dyDescent="0.2">
      <c r="A299" s="130" t="s">
        <v>1145</v>
      </c>
      <c r="B299" s="132" t="s">
        <v>1127</v>
      </c>
      <c r="C299" s="130" t="s">
        <v>1132</v>
      </c>
      <c r="D299" s="1112" t="s">
        <v>21</v>
      </c>
      <c r="E299" s="130">
        <v>2</v>
      </c>
      <c r="F299" s="100" t="str">
        <f t="shared" si="65"/>
        <v>THIRDPARTY-22</v>
      </c>
      <c r="G299" s="100">
        <f t="shared" si="66"/>
        <v>5</v>
      </c>
      <c r="H299" s="133" t="e">
        <f t="shared" ca="1" si="69"/>
        <v>#VALUE!</v>
      </c>
      <c r="I299" s="133">
        <f t="shared" ca="1" si="67"/>
        <v>0</v>
      </c>
      <c r="J299" s="136" t="s">
        <v>317</v>
      </c>
      <c r="W299" s="1121" t="str">
        <f ca="1">AB299&amp;"-"&amp;COUNTIF($AB$2:$AB299,$AB299)</f>
        <v>0-2-0-116</v>
      </c>
      <c r="X299" s="1121" t="s">
        <v>1132</v>
      </c>
      <c r="Y299" s="1123">
        <f t="shared" ca="1" si="71"/>
        <v>0</v>
      </c>
      <c r="Z299" s="1126">
        <v>2</v>
      </c>
      <c r="AA299" s="1123">
        <f t="shared" ca="1" si="68"/>
        <v>0</v>
      </c>
      <c r="AB299" s="1125" t="str">
        <f t="shared" ca="1" si="70"/>
        <v>0-2-0</v>
      </c>
    </row>
    <row r="300" spans="1:28" ht="15" customHeight="1" x14ac:dyDescent="0.2">
      <c r="A300" s="130" t="s">
        <v>1145</v>
      </c>
      <c r="B300" s="132" t="s">
        <v>1127</v>
      </c>
      <c r="C300" s="130" t="s">
        <v>1133</v>
      </c>
      <c r="D300" s="1112" t="s">
        <v>109</v>
      </c>
      <c r="E300" s="130">
        <v>2</v>
      </c>
      <c r="F300" s="100" t="str">
        <f t="shared" si="65"/>
        <v>THIRDPARTY-22</v>
      </c>
      <c r="G300" s="100">
        <f t="shared" si="66"/>
        <v>5</v>
      </c>
      <c r="H300" s="133" t="e">
        <f t="shared" ca="1" si="69"/>
        <v>#VALUE!</v>
      </c>
      <c r="I300" s="133">
        <f t="shared" ca="1" si="67"/>
        <v>0</v>
      </c>
      <c r="J300" s="136" t="s">
        <v>318</v>
      </c>
      <c r="W300" s="1121" t="str">
        <f ca="1">AB300&amp;"-"&amp;COUNTIF($AB$2:$AB300,$AB300)</f>
        <v>0-2-0-117</v>
      </c>
      <c r="X300" s="1121" t="s">
        <v>1133</v>
      </c>
      <c r="Y300" s="1123">
        <f t="shared" ca="1" si="71"/>
        <v>0</v>
      </c>
      <c r="Z300" s="1126">
        <v>2</v>
      </c>
      <c r="AA300" s="1123">
        <f t="shared" ca="1" si="68"/>
        <v>0</v>
      </c>
      <c r="AB300" s="1125" t="str">
        <f t="shared" ca="1" si="70"/>
        <v>0-2-0</v>
      </c>
    </row>
    <row r="301" spans="1:28" ht="15" customHeight="1" x14ac:dyDescent="0.2">
      <c r="A301" s="130" t="s">
        <v>1145</v>
      </c>
      <c r="B301" s="132" t="s">
        <v>1127</v>
      </c>
      <c r="C301" s="130" t="s">
        <v>1134</v>
      </c>
      <c r="D301" s="1112" t="s">
        <v>173</v>
      </c>
      <c r="E301" s="130">
        <v>2</v>
      </c>
      <c r="F301" s="100" t="str">
        <f t="shared" si="65"/>
        <v>THIRDPARTY-22</v>
      </c>
      <c r="G301" s="100">
        <f t="shared" si="66"/>
        <v>5</v>
      </c>
      <c r="H301" s="133" t="e">
        <f t="shared" ca="1" si="69"/>
        <v>#VALUE!</v>
      </c>
      <c r="I301" s="133">
        <f t="shared" ca="1" si="67"/>
        <v>0</v>
      </c>
      <c r="J301" s="136" t="s">
        <v>319</v>
      </c>
      <c r="W301" s="1121" t="str">
        <f ca="1">AB301&amp;"-"&amp;COUNTIF($AB$2:$AB301,$AB301)</f>
        <v>0-2-0-118</v>
      </c>
      <c r="X301" s="1121" t="s">
        <v>1134</v>
      </c>
      <c r="Y301" s="1123">
        <f t="shared" ca="1" si="71"/>
        <v>0</v>
      </c>
      <c r="Z301" s="1126">
        <v>2</v>
      </c>
      <c r="AA301" s="1123">
        <f t="shared" ca="1" si="68"/>
        <v>0</v>
      </c>
      <c r="AB301" s="1125" t="str">
        <f t="shared" ca="1" si="70"/>
        <v>0-2-0</v>
      </c>
    </row>
    <row r="302" spans="1:28" ht="15" customHeight="1" x14ac:dyDescent="0.2">
      <c r="A302" s="130" t="s">
        <v>1145</v>
      </c>
      <c r="B302" s="132" t="s">
        <v>1127</v>
      </c>
      <c r="C302" s="130" t="s">
        <v>1135</v>
      </c>
      <c r="D302" s="1112" t="s">
        <v>175</v>
      </c>
      <c r="E302" s="130">
        <v>3</v>
      </c>
      <c r="F302" s="100" t="str">
        <f t="shared" si="65"/>
        <v>THIRDPARTY-23</v>
      </c>
      <c r="G302" s="100">
        <f t="shared" si="66"/>
        <v>4</v>
      </c>
      <c r="H302" s="133" t="e">
        <f t="shared" ca="1" si="69"/>
        <v>#VALUE!</v>
      </c>
      <c r="I302" s="133">
        <f t="shared" ca="1" si="67"/>
        <v>0</v>
      </c>
      <c r="J302" s="136" t="s">
        <v>320</v>
      </c>
      <c r="W302" s="1121" t="str">
        <f ca="1">AB302&amp;"-"&amp;COUNTIF($AB$2:$AB302,$AB302)</f>
        <v>0-3-0-75</v>
      </c>
      <c r="X302" s="1121" t="s">
        <v>1135</v>
      </c>
      <c r="Y302" s="1123">
        <f t="shared" ca="1" si="71"/>
        <v>0</v>
      </c>
      <c r="Z302" s="1126">
        <v>3</v>
      </c>
      <c r="AA302" s="1123">
        <f t="shared" ca="1" si="68"/>
        <v>0</v>
      </c>
      <c r="AB302" s="1125" t="str">
        <f t="shared" ca="1" si="70"/>
        <v>0-3-0</v>
      </c>
    </row>
    <row r="303" spans="1:28" ht="15" customHeight="1" x14ac:dyDescent="0.2">
      <c r="A303" s="130" t="s">
        <v>1145</v>
      </c>
      <c r="B303" s="132" t="s">
        <v>1127</v>
      </c>
      <c r="C303" s="130" t="s">
        <v>1136</v>
      </c>
      <c r="D303" s="1112" t="s">
        <v>206</v>
      </c>
      <c r="E303" s="130">
        <v>3</v>
      </c>
      <c r="F303" s="100" t="str">
        <f t="shared" si="65"/>
        <v>THIRDPARTY-23</v>
      </c>
      <c r="G303" s="100">
        <f t="shared" si="66"/>
        <v>4</v>
      </c>
      <c r="H303" s="133" t="e">
        <f t="shared" ca="1" si="69"/>
        <v>#VALUE!</v>
      </c>
      <c r="I303" s="133">
        <f t="shared" ca="1" si="67"/>
        <v>0</v>
      </c>
      <c r="J303" s="136" t="s">
        <v>321</v>
      </c>
      <c r="W303" s="1121" t="str">
        <f ca="1">AB303&amp;"-"&amp;COUNTIF($AB$2:$AB303,$AB303)</f>
        <v>0-3-0-76</v>
      </c>
      <c r="X303" s="1121" t="s">
        <v>1136</v>
      </c>
      <c r="Y303" s="1123">
        <f t="shared" ca="1" si="71"/>
        <v>0</v>
      </c>
      <c r="Z303" s="1126">
        <v>3</v>
      </c>
      <c r="AA303" s="1123">
        <f t="shared" ca="1" si="68"/>
        <v>0</v>
      </c>
      <c r="AB303" s="1125" t="str">
        <f t="shared" ca="1" si="70"/>
        <v>0-3-0</v>
      </c>
    </row>
    <row r="304" spans="1:28" ht="15" customHeight="1" x14ac:dyDescent="0.2">
      <c r="A304" s="130" t="s">
        <v>1145</v>
      </c>
      <c r="B304" s="132" t="s">
        <v>1127</v>
      </c>
      <c r="C304" s="130" t="s">
        <v>1137</v>
      </c>
      <c r="D304" s="1112" t="s">
        <v>208</v>
      </c>
      <c r="E304" s="130">
        <v>3</v>
      </c>
      <c r="F304" s="100" t="str">
        <f t="shared" si="65"/>
        <v>THIRDPARTY-23</v>
      </c>
      <c r="G304" s="100">
        <f t="shared" si="66"/>
        <v>4</v>
      </c>
      <c r="H304" s="133" t="e">
        <f t="shared" ca="1" si="69"/>
        <v>#VALUE!</v>
      </c>
      <c r="I304" s="133">
        <f t="shared" ca="1" si="67"/>
        <v>0</v>
      </c>
      <c r="J304" s="136" t="s">
        <v>322</v>
      </c>
      <c r="W304" s="1121" t="str">
        <f ca="1">AB304&amp;"-"&amp;COUNTIF($AB$2:$AB304,$AB304)</f>
        <v>0-3-0-77</v>
      </c>
      <c r="X304" s="1121" t="s">
        <v>1137</v>
      </c>
      <c r="Y304" s="1123">
        <f t="shared" ca="1" si="71"/>
        <v>0</v>
      </c>
      <c r="Z304" s="1126">
        <v>3</v>
      </c>
      <c r="AA304" s="1123">
        <f t="shared" ca="1" si="68"/>
        <v>0</v>
      </c>
      <c r="AB304" s="1125" t="str">
        <f t="shared" ca="1" si="70"/>
        <v>0-3-0</v>
      </c>
    </row>
    <row r="305" spans="1:28" ht="15" customHeight="1" x14ac:dyDescent="0.2">
      <c r="A305" s="130" t="s">
        <v>1145</v>
      </c>
      <c r="B305" s="132" t="s">
        <v>1127</v>
      </c>
      <c r="C305" s="130" t="s">
        <v>1138</v>
      </c>
      <c r="D305" s="1112" t="s">
        <v>210</v>
      </c>
      <c r="E305" s="130">
        <v>3</v>
      </c>
      <c r="F305" s="100" t="str">
        <f t="shared" si="65"/>
        <v>THIRDPARTY-23</v>
      </c>
      <c r="G305" s="100">
        <f t="shared" si="66"/>
        <v>4</v>
      </c>
      <c r="H305" s="133" t="e">
        <f t="shared" ca="1" si="69"/>
        <v>#VALUE!</v>
      </c>
      <c r="I305" s="133">
        <f t="shared" ca="1" si="67"/>
        <v>0</v>
      </c>
      <c r="J305" s="136" t="s">
        <v>323</v>
      </c>
      <c r="W305" s="1121" t="str">
        <f ca="1">AB305&amp;"-"&amp;COUNTIF($AB$2:$AB305,$AB305)</f>
        <v>0-3-0-78</v>
      </c>
      <c r="X305" s="1121" t="s">
        <v>1138</v>
      </c>
      <c r="Y305" s="1123">
        <f t="shared" ca="1" si="71"/>
        <v>0</v>
      </c>
      <c r="Z305" s="1126">
        <v>3</v>
      </c>
      <c r="AA305" s="1123">
        <f t="shared" ca="1" si="68"/>
        <v>0</v>
      </c>
      <c r="AB305" s="1125" t="str">
        <f t="shared" ca="1" si="70"/>
        <v>0-3-0</v>
      </c>
    </row>
    <row r="306" spans="1:28" ht="15" customHeight="1" x14ac:dyDescent="0.2">
      <c r="A306" s="130" t="s">
        <v>1145</v>
      </c>
      <c r="B306" s="132" t="s">
        <v>1146</v>
      </c>
      <c r="C306" s="130" t="s">
        <v>1139</v>
      </c>
      <c r="D306" s="1112" t="s">
        <v>22</v>
      </c>
      <c r="E306" s="130">
        <v>2</v>
      </c>
      <c r="F306" s="100" t="str">
        <f t="shared" si="65"/>
        <v>THIRDPARTY-32</v>
      </c>
      <c r="G306" s="100">
        <f t="shared" si="66"/>
        <v>2</v>
      </c>
      <c r="H306" s="133" t="e">
        <f t="shared" ca="1" si="69"/>
        <v>#VALUE!</v>
      </c>
      <c r="I306" s="133">
        <f t="shared" ca="1" si="67"/>
        <v>0</v>
      </c>
      <c r="J306" s="136" t="s">
        <v>324</v>
      </c>
      <c r="W306" s="1121" t="str">
        <f ca="1">AB306&amp;"-"&amp;COUNTIF($AB$2:$AB306,$AB306)</f>
        <v>1-2-0-21</v>
      </c>
      <c r="X306" s="1121" t="s">
        <v>1139</v>
      </c>
      <c r="Y306" s="1123">
        <f t="shared" ca="1" si="71"/>
        <v>1</v>
      </c>
      <c r="Z306" s="1126">
        <v>2</v>
      </c>
      <c r="AA306" s="1123">
        <f t="shared" ca="1" si="68"/>
        <v>0</v>
      </c>
      <c r="AB306" s="1125" t="str">
        <f t="shared" ca="1" si="70"/>
        <v>1-2-0</v>
      </c>
    </row>
    <row r="307" spans="1:28" ht="15" customHeight="1" x14ac:dyDescent="0.2">
      <c r="A307" s="130" t="s">
        <v>1145</v>
      </c>
      <c r="B307" s="132" t="s">
        <v>1146</v>
      </c>
      <c r="C307" s="130" t="s">
        <v>1140</v>
      </c>
      <c r="D307" s="1112" t="s">
        <v>23</v>
      </c>
      <c r="E307" s="130">
        <v>2</v>
      </c>
      <c r="F307" s="100" t="str">
        <f t="shared" si="65"/>
        <v>THIRDPARTY-32</v>
      </c>
      <c r="G307" s="100">
        <f t="shared" si="66"/>
        <v>2</v>
      </c>
      <c r="H307" s="133" t="e">
        <f t="shared" ca="1" si="69"/>
        <v>#VALUE!</v>
      </c>
      <c r="I307" s="133">
        <f t="shared" ca="1" si="67"/>
        <v>0</v>
      </c>
      <c r="J307" s="136" t="s">
        <v>325</v>
      </c>
      <c r="W307" s="1121" t="str">
        <f ca="1">AB307&amp;"-"&amp;COUNTIF($AB$2:$AB307,$AB307)</f>
        <v>1-2-0-22</v>
      </c>
      <c r="X307" s="1121" t="s">
        <v>1140</v>
      </c>
      <c r="Y307" s="1123">
        <f t="shared" ca="1" si="71"/>
        <v>1</v>
      </c>
      <c r="Z307" s="1126">
        <v>2</v>
      </c>
      <c r="AA307" s="1123">
        <f t="shared" ca="1" si="68"/>
        <v>0</v>
      </c>
      <c r="AB307" s="1125" t="str">
        <f t="shared" ca="1" si="70"/>
        <v>1-2-0</v>
      </c>
    </row>
    <row r="308" spans="1:28" ht="15" customHeight="1" x14ac:dyDescent="0.2">
      <c r="A308" s="130" t="s">
        <v>1145</v>
      </c>
      <c r="B308" s="132" t="s">
        <v>1146</v>
      </c>
      <c r="C308" s="130" t="s">
        <v>1141</v>
      </c>
      <c r="D308" s="1112" t="s">
        <v>24</v>
      </c>
      <c r="E308" s="130">
        <v>3</v>
      </c>
      <c r="F308" s="100" t="str">
        <f t="shared" si="65"/>
        <v>THIRDPARTY-33</v>
      </c>
      <c r="G308" s="100">
        <f t="shared" si="66"/>
        <v>4</v>
      </c>
      <c r="H308" s="133" t="e">
        <f t="shared" ca="1" si="69"/>
        <v>#VALUE!</v>
      </c>
      <c r="I308" s="133">
        <f t="shared" ca="1" si="67"/>
        <v>0</v>
      </c>
      <c r="J308" s="136" t="s">
        <v>326</v>
      </c>
      <c r="W308" s="1121" t="str">
        <f ca="1">AB308&amp;"-"&amp;COUNTIF($AB$2:$AB308,$AB308)</f>
        <v>1-3-0-39</v>
      </c>
      <c r="X308" s="1121" t="s">
        <v>1141</v>
      </c>
      <c r="Y308" s="1123">
        <f t="shared" ca="1" si="71"/>
        <v>1</v>
      </c>
      <c r="Z308" s="1126">
        <v>3</v>
      </c>
      <c r="AA308" s="1123">
        <f t="shared" ca="1" si="68"/>
        <v>0</v>
      </c>
      <c r="AB308" s="1125" t="str">
        <f t="shared" ca="1" si="70"/>
        <v>1-3-0</v>
      </c>
    </row>
    <row r="309" spans="1:28" ht="15" customHeight="1" x14ac:dyDescent="0.2">
      <c r="A309" s="130" t="s">
        <v>1145</v>
      </c>
      <c r="B309" s="132" t="s">
        <v>1146</v>
      </c>
      <c r="C309" s="130" t="s">
        <v>1142</v>
      </c>
      <c r="D309" s="1112" t="s">
        <v>25</v>
      </c>
      <c r="E309" s="130">
        <v>3</v>
      </c>
      <c r="F309" s="100" t="str">
        <f t="shared" si="65"/>
        <v>THIRDPARTY-33</v>
      </c>
      <c r="G309" s="100">
        <f t="shared" si="66"/>
        <v>4</v>
      </c>
      <c r="H309" s="133" t="e">
        <f t="shared" ca="1" si="69"/>
        <v>#VALUE!</v>
      </c>
      <c r="I309" s="133">
        <f t="shared" ca="1" si="67"/>
        <v>0</v>
      </c>
      <c r="J309" s="136" t="s">
        <v>327</v>
      </c>
      <c r="W309" s="1121" t="str">
        <f ca="1">AB309&amp;"-"&amp;COUNTIF($AB$2:$AB309,$AB309)</f>
        <v>1-3-0-40</v>
      </c>
      <c r="X309" s="1121" t="s">
        <v>1142</v>
      </c>
      <c r="Y309" s="1123">
        <f t="shared" ca="1" si="71"/>
        <v>1</v>
      </c>
      <c r="Z309" s="1126">
        <v>3</v>
      </c>
      <c r="AA309" s="1123">
        <f t="shared" ca="1" si="68"/>
        <v>0</v>
      </c>
      <c r="AB309" s="1125" t="str">
        <f t="shared" ca="1" si="70"/>
        <v>1-3-0</v>
      </c>
    </row>
    <row r="310" spans="1:28" ht="15" customHeight="1" x14ac:dyDescent="0.2">
      <c r="A310" s="130" t="s">
        <v>1145</v>
      </c>
      <c r="B310" s="132" t="s">
        <v>1146</v>
      </c>
      <c r="C310" s="130" t="s">
        <v>1143</v>
      </c>
      <c r="D310" s="1112" t="s">
        <v>26</v>
      </c>
      <c r="E310" s="130">
        <v>3</v>
      </c>
      <c r="F310" s="100" t="str">
        <f t="shared" si="65"/>
        <v>THIRDPARTY-33</v>
      </c>
      <c r="G310" s="100">
        <f t="shared" si="66"/>
        <v>4</v>
      </c>
      <c r="H310" s="133" t="e">
        <f t="shared" ca="1" si="69"/>
        <v>#VALUE!</v>
      </c>
      <c r="I310" s="133">
        <f t="shared" ca="1" si="67"/>
        <v>0</v>
      </c>
      <c r="J310" s="136" t="s">
        <v>328</v>
      </c>
      <c r="W310" s="1121" t="str">
        <f ca="1">AB310&amp;"-"&amp;COUNTIF($AB$2:$AB310,$AB310)</f>
        <v>1-3-0-41</v>
      </c>
      <c r="X310" s="1121" t="s">
        <v>1143</v>
      </c>
      <c r="Y310" s="1123">
        <f t="shared" ref="Y310:Y370" ca="1" si="72">VLOOKUP(LEFT($X310,LEN($X310)-1),$K:$O,5,FALSE)</f>
        <v>1</v>
      </c>
      <c r="Z310" s="1126">
        <v>3</v>
      </c>
      <c r="AA310" s="1123">
        <f t="shared" ca="1" si="68"/>
        <v>0</v>
      </c>
      <c r="AB310" s="1125" t="str">
        <f t="shared" ca="1" si="70"/>
        <v>1-3-0</v>
      </c>
    </row>
    <row r="311" spans="1:28" ht="15" customHeight="1" x14ac:dyDescent="0.2">
      <c r="A311" s="130" t="s">
        <v>1145</v>
      </c>
      <c r="B311" s="132" t="s">
        <v>1146</v>
      </c>
      <c r="C311" s="130" t="s">
        <v>1144</v>
      </c>
      <c r="D311" s="1112" t="s">
        <v>27</v>
      </c>
      <c r="E311" s="130">
        <v>3</v>
      </c>
      <c r="F311" s="100" t="str">
        <f t="shared" si="65"/>
        <v>THIRDPARTY-33</v>
      </c>
      <c r="G311" s="100">
        <f t="shared" si="66"/>
        <v>4</v>
      </c>
      <c r="H311" s="133" t="e">
        <f t="shared" ca="1" si="69"/>
        <v>#VALUE!</v>
      </c>
      <c r="I311" s="133">
        <f t="shared" ca="1" si="67"/>
        <v>0</v>
      </c>
      <c r="J311" s="136" t="s">
        <v>329</v>
      </c>
      <c r="W311" s="1121" t="str">
        <f ca="1">AB311&amp;"-"&amp;COUNTIF($AB$2:$AB311,$AB311)</f>
        <v>1-3-0-42</v>
      </c>
      <c r="X311" s="1121" t="s">
        <v>1144</v>
      </c>
      <c r="Y311" s="1123">
        <f t="shared" ca="1" si="72"/>
        <v>1</v>
      </c>
      <c r="Z311" s="1126">
        <v>3</v>
      </c>
      <c r="AA311" s="1123">
        <f t="shared" ca="1" si="68"/>
        <v>0</v>
      </c>
      <c r="AB311" s="1125" t="str">
        <f t="shared" ca="1" si="70"/>
        <v>1-3-0</v>
      </c>
    </row>
    <row r="312" spans="1:28" ht="15" customHeight="1" x14ac:dyDescent="0.2">
      <c r="A312" s="417" t="s">
        <v>66</v>
      </c>
      <c r="B312" s="417" t="s">
        <v>73</v>
      </c>
      <c r="C312" s="417" t="s">
        <v>183</v>
      </c>
      <c r="D312" s="1111" t="s">
        <v>5</v>
      </c>
      <c r="E312" s="417">
        <v>1</v>
      </c>
      <c r="F312" s="100" t="str">
        <f t="shared" si="65"/>
        <v>THREAT-11</v>
      </c>
      <c r="G312" s="100">
        <f t="shared" si="66"/>
        <v>4</v>
      </c>
      <c r="H312" s="133" t="e">
        <f t="shared" ca="1" si="69"/>
        <v>#VALUE!</v>
      </c>
      <c r="I312" s="133">
        <f t="shared" ca="1" si="67"/>
        <v>0</v>
      </c>
      <c r="J312" s="136" t="s">
        <v>330</v>
      </c>
      <c r="W312" s="1121" t="str">
        <f ca="1">AB312&amp;"-"&amp;COUNTIF($AB$2:$AB312,$AB312)</f>
        <v>0-1-0-51</v>
      </c>
      <c r="X312" s="1121" t="s">
        <v>183</v>
      </c>
      <c r="Y312" s="1123">
        <f t="shared" ca="1" si="72"/>
        <v>0</v>
      </c>
      <c r="Z312" s="1126">
        <v>1</v>
      </c>
      <c r="AA312" s="1123">
        <f t="shared" ca="1" si="68"/>
        <v>0</v>
      </c>
      <c r="AB312" s="1125" t="str">
        <f t="shared" ca="1" si="70"/>
        <v>0-1-0</v>
      </c>
    </row>
    <row r="313" spans="1:28" ht="15" customHeight="1" x14ac:dyDescent="0.2">
      <c r="A313" s="417" t="s">
        <v>66</v>
      </c>
      <c r="B313" s="417" t="s">
        <v>73</v>
      </c>
      <c r="C313" s="417" t="s">
        <v>184</v>
      </c>
      <c r="D313" s="1111" t="s">
        <v>7</v>
      </c>
      <c r="E313" s="417">
        <v>1</v>
      </c>
      <c r="F313" s="100" t="str">
        <f t="shared" si="65"/>
        <v>THREAT-11</v>
      </c>
      <c r="G313" s="100">
        <f t="shared" si="66"/>
        <v>4</v>
      </c>
      <c r="H313" s="133" t="e">
        <f t="shared" ca="1" si="69"/>
        <v>#VALUE!</v>
      </c>
      <c r="I313" s="133">
        <f t="shared" ca="1" si="67"/>
        <v>0</v>
      </c>
      <c r="J313" s="136" t="s">
        <v>331</v>
      </c>
      <c r="W313" s="1121" t="str">
        <f ca="1">AB313&amp;"-"&amp;COUNTIF($AB$2:$AB313,$AB313)</f>
        <v>0-1-0-52</v>
      </c>
      <c r="X313" s="1121" t="s">
        <v>184</v>
      </c>
      <c r="Y313" s="1123">
        <f t="shared" ca="1" si="72"/>
        <v>0</v>
      </c>
      <c r="Z313" s="1126">
        <v>1</v>
      </c>
      <c r="AA313" s="1123">
        <f t="shared" ca="1" si="68"/>
        <v>0</v>
      </c>
      <c r="AB313" s="1125" t="str">
        <f t="shared" ca="1" si="70"/>
        <v>0-1-0</v>
      </c>
    </row>
    <row r="314" spans="1:28" ht="15" customHeight="1" x14ac:dyDescent="0.2">
      <c r="A314" s="417" t="s">
        <v>66</v>
      </c>
      <c r="B314" s="417" t="s">
        <v>73</v>
      </c>
      <c r="C314" s="417" t="s">
        <v>185</v>
      </c>
      <c r="D314" s="1111" t="s">
        <v>8</v>
      </c>
      <c r="E314" s="417">
        <v>1</v>
      </c>
      <c r="F314" s="100" t="str">
        <f t="shared" si="65"/>
        <v>THREAT-11</v>
      </c>
      <c r="G314" s="100">
        <f t="shared" si="66"/>
        <v>4</v>
      </c>
      <c r="H314" s="133" t="e">
        <f t="shared" ca="1" si="69"/>
        <v>#VALUE!</v>
      </c>
      <c r="I314" s="133">
        <f t="shared" ca="1" si="67"/>
        <v>0</v>
      </c>
      <c r="J314" s="136" t="s">
        <v>332</v>
      </c>
      <c r="W314" s="1121" t="str">
        <f ca="1">AB314&amp;"-"&amp;COUNTIF($AB$2:$AB314,$AB314)</f>
        <v>0-1-0-53</v>
      </c>
      <c r="X314" s="1121" t="s">
        <v>185</v>
      </c>
      <c r="Y314" s="1123">
        <f t="shared" ca="1" si="72"/>
        <v>0</v>
      </c>
      <c r="Z314" s="1126">
        <v>1</v>
      </c>
      <c r="AA314" s="1123">
        <f t="shared" ca="1" si="68"/>
        <v>0</v>
      </c>
      <c r="AB314" s="1125" t="str">
        <f t="shared" ca="1" si="70"/>
        <v>0-1-0</v>
      </c>
    </row>
    <row r="315" spans="1:28" ht="15" customHeight="1" x14ac:dyDescent="0.2">
      <c r="A315" s="417" t="s">
        <v>66</v>
      </c>
      <c r="B315" s="417" t="s">
        <v>73</v>
      </c>
      <c r="C315" s="417" t="s">
        <v>186</v>
      </c>
      <c r="D315" s="1111" t="s">
        <v>9</v>
      </c>
      <c r="E315" s="417">
        <v>1</v>
      </c>
      <c r="F315" s="100" t="str">
        <f t="shared" si="65"/>
        <v>THREAT-11</v>
      </c>
      <c r="G315" s="100">
        <f t="shared" si="66"/>
        <v>4</v>
      </c>
      <c r="H315" s="133" t="e">
        <f t="shared" ca="1" si="69"/>
        <v>#VALUE!</v>
      </c>
      <c r="I315" s="133">
        <f t="shared" ca="1" si="67"/>
        <v>0</v>
      </c>
      <c r="J315" s="136" t="s">
        <v>333</v>
      </c>
      <c r="W315" s="1121" t="str">
        <f ca="1">AB315&amp;"-"&amp;COUNTIF($AB$2:$AB315,$AB315)</f>
        <v>0-1-0-54</v>
      </c>
      <c r="X315" s="1121" t="s">
        <v>186</v>
      </c>
      <c r="Y315" s="1123">
        <f t="shared" ca="1" si="72"/>
        <v>0</v>
      </c>
      <c r="Z315" s="1126">
        <v>1</v>
      </c>
      <c r="AA315" s="1123">
        <f t="shared" ca="1" si="68"/>
        <v>0</v>
      </c>
      <c r="AB315" s="1125" t="str">
        <f t="shared" ca="1" si="70"/>
        <v>0-1-0</v>
      </c>
    </row>
    <row r="316" spans="1:28" ht="15" customHeight="1" x14ac:dyDescent="0.2">
      <c r="A316" s="417" t="s">
        <v>66</v>
      </c>
      <c r="B316" s="417" t="s">
        <v>73</v>
      </c>
      <c r="C316" s="417" t="s">
        <v>187</v>
      </c>
      <c r="D316" s="1111" t="s">
        <v>10</v>
      </c>
      <c r="E316" s="417">
        <v>2</v>
      </c>
      <c r="F316" s="100" t="str">
        <f t="shared" si="65"/>
        <v>THREAT-12</v>
      </c>
      <c r="G316" s="100">
        <f t="shared" si="66"/>
        <v>5</v>
      </c>
      <c r="H316" s="133" t="e">
        <f t="shared" ca="1" si="69"/>
        <v>#VALUE!</v>
      </c>
      <c r="I316" s="133">
        <f t="shared" ca="1" si="67"/>
        <v>0</v>
      </c>
      <c r="J316" s="136" t="s">
        <v>334</v>
      </c>
      <c r="W316" s="1121" t="str">
        <f ca="1">AB316&amp;"-"&amp;COUNTIF($AB$2:$AB316,$AB316)</f>
        <v>0-2-0-119</v>
      </c>
      <c r="X316" s="1121" t="s">
        <v>187</v>
      </c>
      <c r="Y316" s="1123">
        <f t="shared" ca="1" si="72"/>
        <v>0</v>
      </c>
      <c r="Z316" s="1126">
        <v>2</v>
      </c>
      <c r="AA316" s="1123">
        <f t="shared" ca="1" si="68"/>
        <v>0</v>
      </c>
      <c r="AB316" s="1125" t="str">
        <f t="shared" ca="1" si="70"/>
        <v>0-2-0</v>
      </c>
    </row>
    <row r="317" spans="1:28" ht="15" customHeight="1" x14ac:dyDescent="0.2">
      <c r="A317" s="417" t="s">
        <v>66</v>
      </c>
      <c r="B317" s="417" t="s">
        <v>73</v>
      </c>
      <c r="C317" s="417" t="s">
        <v>188</v>
      </c>
      <c r="D317" s="1111" t="s">
        <v>11</v>
      </c>
      <c r="E317" s="417">
        <v>2</v>
      </c>
      <c r="F317" s="100" t="str">
        <f t="shared" si="65"/>
        <v>THREAT-12</v>
      </c>
      <c r="G317" s="100">
        <f t="shared" si="66"/>
        <v>5</v>
      </c>
      <c r="H317" s="133" t="e">
        <f t="shared" ca="1" si="69"/>
        <v>#VALUE!</v>
      </c>
      <c r="I317" s="133">
        <f t="shared" ca="1" si="67"/>
        <v>0</v>
      </c>
      <c r="J317" s="136" t="s">
        <v>335</v>
      </c>
      <c r="W317" s="1121" t="str">
        <f ca="1">AB317&amp;"-"&amp;COUNTIF($AB$2:$AB317,$AB317)</f>
        <v>0-2-0-120</v>
      </c>
      <c r="X317" s="1121" t="s">
        <v>188</v>
      </c>
      <c r="Y317" s="1123">
        <f t="shared" ca="1" si="72"/>
        <v>0</v>
      </c>
      <c r="Z317" s="1126">
        <v>2</v>
      </c>
      <c r="AA317" s="1123">
        <f t="shared" ca="1" si="68"/>
        <v>0</v>
      </c>
      <c r="AB317" s="1125" t="str">
        <f t="shared" ca="1" si="70"/>
        <v>0-2-0</v>
      </c>
    </row>
    <row r="318" spans="1:28" ht="15" customHeight="1" x14ac:dyDescent="0.2">
      <c r="A318" s="417" t="s">
        <v>66</v>
      </c>
      <c r="B318" s="417" t="s">
        <v>73</v>
      </c>
      <c r="C318" s="417" t="s">
        <v>189</v>
      </c>
      <c r="D318" s="1111" t="s">
        <v>12</v>
      </c>
      <c r="E318" s="417">
        <v>2</v>
      </c>
      <c r="F318" s="100" t="str">
        <f t="shared" si="65"/>
        <v>THREAT-12</v>
      </c>
      <c r="G318" s="100">
        <f t="shared" si="66"/>
        <v>5</v>
      </c>
      <c r="H318" s="133" t="e">
        <f t="shared" ca="1" si="69"/>
        <v>#VALUE!</v>
      </c>
      <c r="I318" s="133">
        <f t="shared" ca="1" si="67"/>
        <v>0</v>
      </c>
      <c r="J318" s="136" t="s">
        <v>336</v>
      </c>
      <c r="W318" s="1121" t="str">
        <f ca="1">AB318&amp;"-"&amp;COUNTIF($AB$2:$AB318,$AB318)</f>
        <v>0-2-0-121</v>
      </c>
      <c r="X318" s="1121" t="s">
        <v>189</v>
      </c>
      <c r="Y318" s="1123">
        <f t="shared" ca="1" si="72"/>
        <v>0</v>
      </c>
      <c r="Z318" s="1126">
        <v>2</v>
      </c>
      <c r="AA318" s="1123">
        <f t="shared" ca="1" si="68"/>
        <v>0</v>
      </c>
      <c r="AB318" s="1125" t="str">
        <f t="shared" ca="1" si="70"/>
        <v>0-2-0</v>
      </c>
    </row>
    <row r="319" spans="1:28" ht="15" customHeight="1" x14ac:dyDescent="0.2">
      <c r="A319" s="417" t="s">
        <v>66</v>
      </c>
      <c r="B319" s="417" t="s">
        <v>73</v>
      </c>
      <c r="C319" s="417" t="s">
        <v>190</v>
      </c>
      <c r="D319" s="1111" t="s">
        <v>13</v>
      </c>
      <c r="E319" s="417">
        <v>2</v>
      </c>
      <c r="F319" s="100" t="str">
        <f t="shared" si="65"/>
        <v>THREAT-12</v>
      </c>
      <c r="G319" s="100">
        <f t="shared" si="66"/>
        <v>5</v>
      </c>
      <c r="H319" s="133" t="e">
        <f t="shared" ca="1" si="69"/>
        <v>#VALUE!</v>
      </c>
      <c r="I319" s="133">
        <f t="shared" ca="1" si="67"/>
        <v>0</v>
      </c>
      <c r="J319" s="136" t="s">
        <v>337</v>
      </c>
      <c r="W319" s="1121" t="str">
        <f ca="1">AB319&amp;"-"&amp;COUNTIF($AB$2:$AB319,$AB319)</f>
        <v>0-2-0-122</v>
      </c>
      <c r="X319" s="1121" t="s">
        <v>190</v>
      </c>
      <c r="Y319" s="1123">
        <f t="shared" ca="1" si="72"/>
        <v>0</v>
      </c>
      <c r="Z319" s="1126">
        <v>2</v>
      </c>
      <c r="AA319" s="1123">
        <f t="shared" ca="1" si="68"/>
        <v>0</v>
      </c>
      <c r="AB319" s="1125" t="str">
        <f t="shared" ca="1" si="70"/>
        <v>0-2-0</v>
      </c>
    </row>
    <row r="320" spans="1:28" ht="15" customHeight="1" x14ac:dyDescent="0.2">
      <c r="A320" s="417" t="s">
        <v>66</v>
      </c>
      <c r="B320" s="417" t="s">
        <v>73</v>
      </c>
      <c r="C320" s="417" t="s">
        <v>191</v>
      </c>
      <c r="D320" s="1111" t="s">
        <v>14</v>
      </c>
      <c r="E320" s="417">
        <v>2</v>
      </c>
      <c r="F320" s="100" t="str">
        <f t="shared" si="65"/>
        <v>THREAT-12</v>
      </c>
      <c r="G320" s="100">
        <f t="shared" si="66"/>
        <v>5</v>
      </c>
      <c r="H320" s="133" t="e">
        <f t="shared" ca="1" si="69"/>
        <v>#VALUE!</v>
      </c>
      <c r="I320" s="133">
        <f t="shared" ca="1" si="67"/>
        <v>0</v>
      </c>
      <c r="J320" s="136" t="s">
        <v>338</v>
      </c>
      <c r="W320" s="1121" t="str">
        <f ca="1">AB320&amp;"-"&amp;COUNTIF($AB$2:$AB320,$AB320)</f>
        <v>0-2-0-123</v>
      </c>
      <c r="X320" s="1121" t="s">
        <v>191</v>
      </c>
      <c r="Y320" s="1123">
        <f t="shared" ca="1" si="72"/>
        <v>0</v>
      </c>
      <c r="Z320" s="1126">
        <v>2</v>
      </c>
      <c r="AA320" s="1123">
        <f t="shared" ca="1" si="68"/>
        <v>0</v>
      </c>
      <c r="AB320" s="1125" t="str">
        <f t="shared" ca="1" si="70"/>
        <v>0-2-0</v>
      </c>
    </row>
    <row r="321" spans="1:28" ht="15" customHeight="1" x14ac:dyDescent="0.2">
      <c r="A321" s="417" t="s">
        <v>66</v>
      </c>
      <c r="B321" s="417" t="s">
        <v>73</v>
      </c>
      <c r="C321" s="417" t="s">
        <v>192</v>
      </c>
      <c r="D321" s="1111" t="s">
        <v>15</v>
      </c>
      <c r="E321" s="417">
        <v>3</v>
      </c>
      <c r="F321" s="100" t="str">
        <f t="shared" si="65"/>
        <v>THREAT-13</v>
      </c>
      <c r="G321" s="100">
        <f t="shared" si="66"/>
        <v>3</v>
      </c>
      <c r="H321" s="133" t="e">
        <f t="shared" ca="1" si="69"/>
        <v>#VALUE!</v>
      </c>
      <c r="I321" s="133">
        <f t="shared" ca="1" si="67"/>
        <v>0</v>
      </c>
      <c r="J321" s="136" t="s">
        <v>339</v>
      </c>
      <c r="W321" s="1121" t="str">
        <f ca="1">AB321&amp;"-"&amp;COUNTIF($AB$2:$AB321,$AB321)</f>
        <v>0-3-0-79</v>
      </c>
      <c r="X321" s="1121" t="s">
        <v>192</v>
      </c>
      <c r="Y321" s="1123">
        <f t="shared" ca="1" si="72"/>
        <v>0</v>
      </c>
      <c r="Z321" s="1126">
        <v>3</v>
      </c>
      <c r="AA321" s="1123">
        <f t="shared" ca="1" si="68"/>
        <v>0</v>
      </c>
      <c r="AB321" s="1125" t="str">
        <f t="shared" ca="1" si="70"/>
        <v>0-3-0</v>
      </c>
    </row>
    <row r="322" spans="1:28" ht="15" customHeight="1" x14ac:dyDescent="0.2">
      <c r="A322" s="417" t="s">
        <v>66</v>
      </c>
      <c r="B322" s="417" t="s">
        <v>73</v>
      </c>
      <c r="C322" s="417" t="s">
        <v>193</v>
      </c>
      <c r="D322" s="1111" t="s">
        <v>194</v>
      </c>
      <c r="E322" s="417">
        <v>3</v>
      </c>
      <c r="F322" s="100" t="str">
        <f t="shared" ref="F322:F370" si="73">CONCATENATE($B322,$E322)</f>
        <v>THREAT-13</v>
      </c>
      <c r="G322" s="100">
        <f t="shared" ref="G322:G370" si="74">COUNTIF($F:$F,$F322)</f>
        <v>3</v>
      </c>
      <c r="H322" s="133" t="e">
        <f t="shared" ca="1" si="69"/>
        <v>#VALUE!</v>
      </c>
      <c r="I322" s="133">
        <f t="shared" ref="I322:I370" ca="1" si="75">IFERROR(IF(H322&gt;2,1,0),0)</f>
        <v>0</v>
      </c>
      <c r="J322" s="136" t="s">
        <v>340</v>
      </c>
      <c r="W322" s="1121" t="str">
        <f ca="1">AB322&amp;"-"&amp;COUNTIF($AB$2:$AB322,$AB322)</f>
        <v>0-3-0-80</v>
      </c>
      <c r="X322" s="1121" t="s">
        <v>193</v>
      </c>
      <c r="Y322" s="1123">
        <f t="shared" ca="1" si="72"/>
        <v>0</v>
      </c>
      <c r="Z322" s="1126">
        <v>3</v>
      </c>
      <c r="AA322" s="1123">
        <f t="shared" ca="1" si="68"/>
        <v>0</v>
      </c>
      <c r="AB322" s="1125" t="str">
        <f t="shared" ca="1" si="70"/>
        <v>0-3-0</v>
      </c>
    </row>
    <row r="323" spans="1:28" ht="15" customHeight="1" x14ac:dyDescent="0.2">
      <c r="A323" s="417" t="s">
        <v>66</v>
      </c>
      <c r="B323" s="417" t="s">
        <v>73</v>
      </c>
      <c r="C323" s="417" t="s">
        <v>195</v>
      </c>
      <c r="D323" s="1111" t="s">
        <v>196</v>
      </c>
      <c r="E323" s="417">
        <v>3</v>
      </c>
      <c r="F323" s="100" t="str">
        <f t="shared" si="73"/>
        <v>THREAT-13</v>
      </c>
      <c r="G323" s="100">
        <f t="shared" si="74"/>
        <v>3</v>
      </c>
      <c r="H323" s="133" t="e">
        <f t="shared" ref="H323:H370" ca="1" si="76">INT(LEFT(
VLOOKUP($D323, INDIRECT("'"&amp;$A323&amp;"'!"&amp;"$D:$G"), 4,FALSE), 1)
)</f>
        <v>#VALUE!</v>
      </c>
      <c r="I323" s="133">
        <f t="shared" ca="1" si="75"/>
        <v>0</v>
      </c>
      <c r="J323" s="136" t="s">
        <v>341</v>
      </c>
      <c r="W323" s="1121" t="str">
        <f ca="1">AB323&amp;"-"&amp;COUNTIF($AB$2:$AB323,$AB323)</f>
        <v>0-3-0-81</v>
      </c>
      <c r="X323" s="1121" t="s">
        <v>195</v>
      </c>
      <c r="Y323" s="1123">
        <f t="shared" ca="1" si="72"/>
        <v>0</v>
      </c>
      <c r="Z323" s="1126">
        <v>3</v>
      </c>
      <c r="AA323" s="1123">
        <f t="shared" ca="1" si="68"/>
        <v>0</v>
      </c>
      <c r="AB323" s="1125" t="str">
        <f t="shared" ca="1" si="70"/>
        <v>0-3-0</v>
      </c>
    </row>
    <row r="324" spans="1:28" ht="15" customHeight="1" x14ac:dyDescent="0.2">
      <c r="A324" s="417" t="s">
        <v>66</v>
      </c>
      <c r="B324" s="417" t="s">
        <v>76</v>
      </c>
      <c r="C324" s="417" t="s">
        <v>197</v>
      </c>
      <c r="D324" s="1111" t="s">
        <v>17</v>
      </c>
      <c r="E324" s="417">
        <v>1</v>
      </c>
      <c r="F324" s="100" t="str">
        <f t="shared" si="73"/>
        <v>THREAT-21</v>
      </c>
      <c r="G324" s="100">
        <f t="shared" si="74"/>
        <v>3</v>
      </c>
      <c r="H324" s="133" t="e">
        <f t="shared" ca="1" si="76"/>
        <v>#VALUE!</v>
      </c>
      <c r="I324" s="133">
        <f t="shared" ca="1" si="75"/>
        <v>0</v>
      </c>
      <c r="J324" s="136" t="s">
        <v>342</v>
      </c>
      <c r="W324" s="1121" t="str">
        <f ca="1">AB324&amp;"-"&amp;COUNTIF($AB$2:$AB324,$AB324)</f>
        <v>0-1-0-55</v>
      </c>
      <c r="X324" s="1121" t="s">
        <v>197</v>
      </c>
      <c r="Y324" s="1123">
        <f t="shared" ca="1" si="72"/>
        <v>0</v>
      </c>
      <c r="Z324" s="1126">
        <v>1</v>
      </c>
      <c r="AA324" s="1123">
        <f t="shared" ca="1" si="68"/>
        <v>0</v>
      </c>
      <c r="AB324" s="1125" t="str">
        <f ca="1">Y324&amp;"-"&amp;Z324&amp;"-"&amp;AA324</f>
        <v>0-1-0</v>
      </c>
    </row>
    <row r="325" spans="1:28" ht="15" customHeight="1" x14ac:dyDescent="0.2">
      <c r="A325" s="417" t="s">
        <v>66</v>
      </c>
      <c r="B325" s="417" t="s">
        <v>76</v>
      </c>
      <c r="C325" s="417" t="s">
        <v>198</v>
      </c>
      <c r="D325" s="1111" t="s">
        <v>18</v>
      </c>
      <c r="E325" s="417">
        <v>1</v>
      </c>
      <c r="F325" s="100" t="str">
        <f t="shared" si="73"/>
        <v>THREAT-21</v>
      </c>
      <c r="G325" s="100">
        <f t="shared" si="74"/>
        <v>3</v>
      </c>
      <c r="H325" s="133" t="e">
        <f t="shared" ca="1" si="76"/>
        <v>#VALUE!</v>
      </c>
      <c r="I325" s="133">
        <f t="shared" ca="1" si="75"/>
        <v>0</v>
      </c>
      <c r="J325" s="136" t="s">
        <v>343</v>
      </c>
      <c r="W325" s="1121" t="str">
        <f ca="1">AB325&amp;"-"&amp;COUNTIF($AB$2:$AB325,$AB325)</f>
        <v>0-1-0-56</v>
      </c>
      <c r="X325" s="1121" t="s">
        <v>198</v>
      </c>
      <c r="Y325" s="1123">
        <f t="shared" ca="1" si="72"/>
        <v>0</v>
      </c>
      <c r="Z325" s="1126">
        <v>1</v>
      </c>
      <c r="AA325" s="1123">
        <f t="shared" ca="1" si="68"/>
        <v>0</v>
      </c>
      <c r="AB325" s="1125" t="str">
        <f ca="1">Y325&amp;"-"&amp;Z325&amp;"-"&amp;AA325</f>
        <v>0-1-0</v>
      </c>
    </row>
    <row r="326" spans="1:28" ht="15" customHeight="1" x14ac:dyDescent="0.2">
      <c r="A326" s="417" t="s">
        <v>66</v>
      </c>
      <c r="B326" s="417" t="s">
        <v>76</v>
      </c>
      <c r="C326" s="417" t="s">
        <v>199</v>
      </c>
      <c r="D326" s="1111" t="s">
        <v>19</v>
      </c>
      <c r="E326" s="417">
        <v>1</v>
      </c>
      <c r="F326" s="100" t="str">
        <f t="shared" si="73"/>
        <v>THREAT-21</v>
      </c>
      <c r="G326" s="100">
        <f t="shared" si="74"/>
        <v>3</v>
      </c>
      <c r="H326" s="133" t="e">
        <f t="shared" ca="1" si="76"/>
        <v>#VALUE!</v>
      </c>
      <c r="I326" s="133">
        <f t="shared" ca="1" si="75"/>
        <v>0</v>
      </c>
      <c r="J326" s="136" t="s">
        <v>344</v>
      </c>
      <c r="W326" s="1121" t="str">
        <f ca="1">AB326&amp;"-"&amp;COUNTIF($AB$2:$AB326,$AB326)</f>
        <v>0-1-0-57</v>
      </c>
      <c r="X326" s="1121" t="s">
        <v>199</v>
      </c>
      <c r="Y326" s="1123">
        <f t="shared" ca="1" si="72"/>
        <v>0</v>
      </c>
      <c r="Z326" s="1126">
        <v>1</v>
      </c>
      <c r="AA326" s="1123">
        <f t="shared" ca="1" si="68"/>
        <v>0</v>
      </c>
      <c r="AB326" s="1125" t="str">
        <f ca="1">Y326&amp;"-"&amp;Z326&amp;"-"&amp;AA326</f>
        <v>0-1-0</v>
      </c>
    </row>
    <row r="327" spans="1:28" ht="15" customHeight="1" x14ac:dyDescent="0.2">
      <c r="A327" s="417" t="s">
        <v>66</v>
      </c>
      <c r="B327" s="417" t="s">
        <v>76</v>
      </c>
      <c r="C327" s="417" t="s">
        <v>200</v>
      </c>
      <c r="D327" s="1111" t="s">
        <v>20</v>
      </c>
      <c r="E327" s="417">
        <v>2</v>
      </c>
      <c r="F327" s="100" t="str">
        <f t="shared" si="73"/>
        <v>THREAT-22</v>
      </c>
      <c r="G327" s="100">
        <f t="shared" si="74"/>
        <v>4</v>
      </c>
      <c r="H327" s="133" t="e">
        <f t="shared" ca="1" si="76"/>
        <v>#VALUE!</v>
      </c>
      <c r="I327" s="133">
        <f t="shared" ca="1" si="75"/>
        <v>0</v>
      </c>
      <c r="W327" s="1121" t="str">
        <f ca="1">AB327&amp;"-"&amp;COUNTIF($AB$2:$AB327,$AB327)</f>
        <v>0-2-0-124</v>
      </c>
      <c r="X327" s="1127" t="s">
        <v>200</v>
      </c>
      <c r="Y327" s="1123">
        <f t="shared" ca="1" si="72"/>
        <v>0</v>
      </c>
      <c r="Z327" s="1126">
        <v>2</v>
      </c>
      <c r="AA327" s="1123">
        <f t="shared" ref="AA327:AA370" ca="1" si="77">VLOOKUP(X327,C:I,7,FALSE)</f>
        <v>0</v>
      </c>
      <c r="AB327" s="1125" t="str">
        <f t="shared" ref="AB327:AB370" ca="1" si="78">Y327&amp;"-"&amp;Z327&amp;"-"&amp;AA327</f>
        <v>0-2-0</v>
      </c>
    </row>
    <row r="328" spans="1:28" ht="15" customHeight="1" x14ac:dyDescent="0.2">
      <c r="A328" s="417" t="s">
        <v>66</v>
      </c>
      <c r="B328" s="417" t="s">
        <v>76</v>
      </c>
      <c r="C328" s="417" t="s">
        <v>201</v>
      </c>
      <c r="D328" s="1111" t="s">
        <v>21</v>
      </c>
      <c r="E328" s="417">
        <v>2</v>
      </c>
      <c r="F328" s="100" t="str">
        <f t="shared" si="73"/>
        <v>THREAT-22</v>
      </c>
      <c r="G328" s="100">
        <f t="shared" si="74"/>
        <v>4</v>
      </c>
      <c r="H328" s="133" t="e">
        <f t="shared" ca="1" si="76"/>
        <v>#VALUE!</v>
      </c>
      <c r="I328" s="133">
        <f t="shared" ca="1" si="75"/>
        <v>0</v>
      </c>
      <c r="W328" s="1121" t="str">
        <f ca="1">AB328&amp;"-"&amp;COUNTIF($AB$2:$AB328,$AB328)</f>
        <v>0-2-0-125</v>
      </c>
      <c r="X328" s="1127" t="s">
        <v>201</v>
      </c>
      <c r="Y328" s="1123">
        <f t="shared" ca="1" si="72"/>
        <v>0</v>
      </c>
      <c r="Z328" s="1126">
        <v>2</v>
      </c>
      <c r="AA328" s="1123">
        <f t="shared" ca="1" si="77"/>
        <v>0</v>
      </c>
      <c r="AB328" s="1125" t="str">
        <f t="shared" ca="1" si="78"/>
        <v>0-2-0</v>
      </c>
    </row>
    <row r="329" spans="1:28" ht="15" customHeight="1" x14ac:dyDescent="0.2">
      <c r="A329" s="417" t="s">
        <v>66</v>
      </c>
      <c r="B329" s="417" t="s">
        <v>76</v>
      </c>
      <c r="C329" s="417" t="s">
        <v>202</v>
      </c>
      <c r="D329" s="1111" t="s">
        <v>109</v>
      </c>
      <c r="E329" s="417">
        <v>2</v>
      </c>
      <c r="F329" s="100" t="str">
        <f t="shared" si="73"/>
        <v>THREAT-22</v>
      </c>
      <c r="G329" s="100">
        <f t="shared" si="74"/>
        <v>4</v>
      </c>
      <c r="H329" s="133" t="e">
        <f t="shared" ca="1" si="76"/>
        <v>#VALUE!</v>
      </c>
      <c r="I329" s="133">
        <f t="shared" ca="1" si="75"/>
        <v>0</v>
      </c>
      <c r="W329" s="1121" t="str">
        <f ca="1">AB329&amp;"-"&amp;COUNTIF($AB$2:$AB329,$AB329)</f>
        <v>0-2-0-126</v>
      </c>
      <c r="X329" s="1127" t="s">
        <v>202</v>
      </c>
      <c r="Y329" s="1123">
        <f t="shared" ca="1" si="72"/>
        <v>0</v>
      </c>
      <c r="Z329" s="1126">
        <v>2</v>
      </c>
      <c r="AA329" s="1123">
        <f t="shared" ca="1" si="77"/>
        <v>0</v>
      </c>
      <c r="AB329" s="1125" t="str">
        <f t="shared" ca="1" si="78"/>
        <v>0-2-0</v>
      </c>
    </row>
    <row r="330" spans="1:28" ht="15" customHeight="1" x14ac:dyDescent="0.2">
      <c r="A330" s="417" t="s">
        <v>66</v>
      </c>
      <c r="B330" s="417" t="s">
        <v>76</v>
      </c>
      <c r="C330" s="417" t="s">
        <v>203</v>
      </c>
      <c r="D330" s="1111" t="s">
        <v>173</v>
      </c>
      <c r="E330" s="417">
        <v>2</v>
      </c>
      <c r="F330" s="100" t="str">
        <f t="shared" si="73"/>
        <v>THREAT-22</v>
      </c>
      <c r="G330" s="100">
        <f t="shared" si="74"/>
        <v>4</v>
      </c>
      <c r="H330" s="133" t="e">
        <f t="shared" ca="1" si="76"/>
        <v>#VALUE!</v>
      </c>
      <c r="I330" s="133">
        <f t="shared" ca="1" si="75"/>
        <v>0</v>
      </c>
      <c r="W330" s="1121" t="str">
        <f ca="1">AB330&amp;"-"&amp;COUNTIF($AB$2:$AB330,$AB330)</f>
        <v>0-2-0-127</v>
      </c>
      <c r="X330" s="1127" t="s">
        <v>203</v>
      </c>
      <c r="Y330" s="1123">
        <f t="shared" ca="1" si="72"/>
        <v>0</v>
      </c>
      <c r="Z330" s="1126">
        <v>2</v>
      </c>
      <c r="AA330" s="1123">
        <f t="shared" ca="1" si="77"/>
        <v>0</v>
      </c>
      <c r="AB330" s="1125" t="str">
        <f t="shared" ca="1" si="78"/>
        <v>0-2-0</v>
      </c>
    </row>
    <row r="331" spans="1:28" ht="15" customHeight="1" x14ac:dyDescent="0.2">
      <c r="A331" s="417" t="s">
        <v>66</v>
      </c>
      <c r="B331" s="417" t="s">
        <v>76</v>
      </c>
      <c r="C331" s="417" t="s">
        <v>204</v>
      </c>
      <c r="D331" s="1111" t="s">
        <v>175</v>
      </c>
      <c r="E331" s="417">
        <v>3</v>
      </c>
      <c r="F331" s="100" t="str">
        <f t="shared" si="73"/>
        <v>THREAT-23</v>
      </c>
      <c r="G331" s="100">
        <f t="shared" si="74"/>
        <v>4</v>
      </c>
      <c r="H331" s="133" t="e">
        <f t="shared" ca="1" si="76"/>
        <v>#VALUE!</v>
      </c>
      <c r="I331" s="133">
        <f t="shared" ca="1" si="75"/>
        <v>0</v>
      </c>
      <c r="W331" s="1121" t="str">
        <f ca="1">AB331&amp;"-"&amp;COUNTIF($AB$2:$AB331,$AB331)</f>
        <v>0-3-0-82</v>
      </c>
      <c r="X331" s="1127" t="s">
        <v>204</v>
      </c>
      <c r="Y331" s="1123">
        <f t="shared" ca="1" si="72"/>
        <v>0</v>
      </c>
      <c r="Z331" s="1126">
        <v>3</v>
      </c>
      <c r="AA331" s="1123">
        <f t="shared" ca="1" si="77"/>
        <v>0</v>
      </c>
      <c r="AB331" s="1125" t="str">
        <f t="shared" ca="1" si="78"/>
        <v>0-3-0</v>
      </c>
    </row>
    <row r="332" spans="1:28" ht="15" customHeight="1" x14ac:dyDescent="0.2">
      <c r="A332" s="417" t="s">
        <v>66</v>
      </c>
      <c r="B332" s="417" t="s">
        <v>76</v>
      </c>
      <c r="C332" s="417" t="s">
        <v>205</v>
      </c>
      <c r="D332" s="1111" t="s">
        <v>206</v>
      </c>
      <c r="E332" s="417">
        <v>3</v>
      </c>
      <c r="F332" s="100" t="str">
        <f t="shared" si="73"/>
        <v>THREAT-23</v>
      </c>
      <c r="G332" s="100">
        <f t="shared" si="74"/>
        <v>4</v>
      </c>
      <c r="H332" s="133" t="e">
        <f t="shared" ca="1" si="76"/>
        <v>#VALUE!</v>
      </c>
      <c r="I332" s="133">
        <f t="shared" ca="1" si="75"/>
        <v>0</v>
      </c>
      <c r="W332" s="1121" t="str">
        <f ca="1">AB332&amp;"-"&amp;COUNTIF($AB$2:$AB332,$AB332)</f>
        <v>0-3-0-83</v>
      </c>
      <c r="X332" s="1127" t="s">
        <v>205</v>
      </c>
      <c r="Y332" s="1123">
        <f t="shared" ca="1" si="72"/>
        <v>0</v>
      </c>
      <c r="Z332" s="1126">
        <v>3</v>
      </c>
      <c r="AA332" s="1123">
        <f t="shared" ca="1" si="77"/>
        <v>0</v>
      </c>
      <c r="AB332" s="1125" t="str">
        <f t="shared" ca="1" si="78"/>
        <v>0-3-0</v>
      </c>
    </row>
    <row r="333" spans="1:28" ht="15" customHeight="1" x14ac:dyDescent="0.2">
      <c r="A333" s="417" t="s">
        <v>66</v>
      </c>
      <c r="B333" s="417" t="s">
        <v>76</v>
      </c>
      <c r="C333" s="417" t="s">
        <v>207</v>
      </c>
      <c r="D333" s="1111" t="s">
        <v>208</v>
      </c>
      <c r="E333" s="417">
        <v>3</v>
      </c>
      <c r="F333" s="100" t="str">
        <f t="shared" si="73"/>
        <v>THREAT-23</v>
      </c>
      <c r="G333" s="100">
        <f t="shared" si="74"/>
        <v>4</v>
      </c>
      <c r="H333" s="133" t="e">
        <f t="shared" ca="1" si="76"/>
        <v>#VALUE!</v>
      </c>
      <c r="I333" s="133">
        <f t="shared" ca="1" si="75"/>
        <v>0</v>
      </c>
      <c r="W333" s="1121" t="str">
        <f ca="1">AB333&amp;"-"&amp;COUNTIF($AB$2:$AB333,$AB333)</f>
        <v>0-3-0-84</v>
      </c>
      <c r="X333" s="1127" t="s">
        <v>207</v>
      </c>
      <c r="Y333" s="1123">
        <f t="shared" ca="1" si="72"/>
        <v>0</v>
      </c>
      <c r="Z333" s="1126">
        <v>3</v>
      </c>
      <c r="AA333" s="1123">
        <f t="shared" ca="1" si="77"/>
        <v>0</v>
      </c>
      <c r="AB333" s="1125" t="str">
        <f t="shared" ca="1" si="78"/>
        <v>0-3-0</v>
      </c>
    </row>
    <row r="334" spans="1:28" ht="15" customHeight="1" x14ac:dyDescent="0.2">
      <c r="A334" s="417" t="s">
        <v>66</v>
      </c>
      <c r="B334" s="417" t="s">
        <v>76</v>
      </c>
      <c r="C334" s="417" t="s">
        <v>209</v>
      </c>
      <c r="D334" s="1111" t="s">
        <v>210</v>
      </c>
      <c r="E334" s="417">
        <v>3</v>
      </c>
      <c r="F334" s="100" t="str">
        <f t="shared" si="73"/>
        <v>THREAT-23</v>
      </c>
      <c r="G334" s="100">
        <f t="shared" si="74"/>
        <v>4</v>
      </c>
      <c r="H334" s="133" t="e">
        <f t="shared" ca="1" si="76"/>
        <v>#VALUE!</v>
      </c>
      <c r="I334" s="133">
        <f t="shared" ca="1" si="75"/>
        <v>0</v>
      </c>
      <c r="W334" s="1121" t="str">
        <f ca="1">AB334&amp;"-"&amp;COUNTIF($AB$2:$AB334,$AB334)</f>
        <v>0-3-0-85</v>
      </c>
      <c r="X334" s="1127" t="s">
        <v>209</v>
      </c>
      <c r="Y334" s="1123">
        <f t="shared" ca="1" si="72"/>
        <v>0</v>
      </c>
      <c r="Z334" s="1126">
        <v>3</v>
      </c>
      <c r="AA334" s="1123">
        <f t="shared" ca="1" si="77"/>
        <v>0</v>
      </c>
      <c r="AB334" s="1125" t="str">
        <f t="shared" ca="1" si="78"/>
        <v>0-3-0</v>
      </c>
    </row>
    <row r="335" spans="1:28" ht="15" customHeight="1" x14ac:dyDescent="0.2">
      <c r="A335" s="417" t="s">
        <v>66</v>
      </c>
      <c r="B335" s="417" t="s">
        <v>79</v>
      </c>
      <c r="C335" s="417" t="s">
        <v>215</v>
      </c>
      <c r="D335" s="1111" t="s">
        <v>22</v>
      </c>
      <c r="E335" s="417">
        <v>2</v>
      </c>
      <c r="F335" s="100" t="str">
        <f t="shared" si="73"/>
        <v>THREAT-32</v>
      </c>
      <c r="G335" s="100">
        <f t="shared" si="74"/>
        <v>2</v>
      </c>
      <c r="H335" s="133" t="e">
        <f t="shared" ca="1" si="76"/>
        <v>#VALUE!</v>
      </c>
      <c r="I335" s="133">
        <f t="shared" ca="1" si="75"/>
        <v>0</v>
      </c>
      <c r="W335" s="1121" t="str">
        <f ca="1">AB335&amp;"-"&amp;COUNTIF($AB$2:$AB335,$AB335)</f>
        <v>1-2-0-23</v>
      </c>
      <c r="X335" s="1127" t="s">
        <v>215</v>
      </c>
      <c r="Y335" s="1123">
        <f t="shared" ca="1" si="72"/>
        <v>1</v>
      </c>
      <c r="Z335" s="1126">
        <v>2</v>
      </c>
      <c r="AA335" s="1123">
        <f t="shared" ca="1" si="77"/>
        <v>0</v>
      </c>
      <c r="AB335" s="1125" t="str">
        <f t="shared" ca="1" si="78"/>
        <v>1-2-0</v>
      </c>
    </row>
    <row r="336" spans="1:28" ht="15" customHeight="1" x14ac:dyDescent="0.2">
      <c r="A336" s="417" t="s">
        <v>66</v>
      </c>
      <c r="B336" s="417" t="s">
        <v>79</v>
      </c>
      <c r="C336" s="417" t="s">
        <v>216</v>
      </c>
      <c r="D336" s="1111" t="s">
        <v>23</v>
      </c>
      <c r="E336" s="417">
        <v>2</v>
      </c>
      <c r="F336" s="100" t="str">
        <f t="shared" si="73"/>
        <v>THREAT-32</v>
      </c>
      <c r="G336" s="100">
        <f t="shared" si="74"/>
        <v>2</v>
      </c>
      <c r="H336" s="133" t="e">
        <f t="shared" ca="1" si="76"/>
        <v>#VALUE!</v>
      </c>
      <c r="I336" s="133">
        <f t="shared" ca="1" si="75"/>
        <v>0</v>
      </c>
      <c r="W336" s="1121" t="str">
        <f ca="1">AB336&amp;"-"&amp;COUNTIF($AB$2:$AB336,$AB336)</f>
        <v>1-2-0-24</v>
      </c>
      <c r="X336" s="1127" t="s">
        <v>216</v>
      </c>
      <c r="Y336" s="1123">
        <f t="shared" ca="1" si="72"/>
        <v>1</v>
      </c>
      <c r="Z336" s="1126">
        <v>2</v>
      </c>
      <c r="AA336" s="1123">
        <f t="shared" ca="1" si="77"/>
        <v>0</v>
      </c>
      <c r="AB336" s="1125" t="str">
        <f t="shared" ca="1" si="78"/>
        <v>1-2-0</v>
      </c>
    </row>
    <row r="337" spans="1:28" ht="15" customHeight="1" x14ac:dyDescent="0.2">
      <c r="A337" s="417" t="s">
        <v>66</v>
      </c>
      <c r="B337" s="417" t="s">
        <v>79</v>
      </c>
      <c r="C337" s="417" t="s">
        <v>217</v>
      </c>
      <c r="D337" s="1111" t="s">
        <v>24</v>
      </c>
      <c r="E337" s="417">
        <v>3</v>
      </c>
      <c r="F337" s="100" t="str">
        <f t="shared" si="73"/>
        <v>THREAT-33</v>
      </c>
      <c r="G337" s="100">
        <f t="shared" si="74"/>
        <v>4</v>
      </c>
      <c r="H337" s="133" t="e">
        <f t="shared" ca="1" si="76"/>
        <v>#VALUE!</v>
      </c>
      <c r="I337" s="133">
        <f t="shared" ca="1" si="75"/>
        <v>0</v>
      </c>
      <c r="W337" s="1121" t="str">
        <f ca="1">AB337&amp;"-"&amp;COUNTIF($AB$2:$AB337,$AB337)</f>
        <v>1-3-0-43</v>
      </c>
      <c r="X337" s="1127" t="s">
        <v>217</v>
      </c>
      <c r="Y337" s="1123">
        <f t="shared" ca="1" si="72"/>
        <v>1</v>
      </c>
      <c r="Z337" s="1126">
        <v>3</v>
      </c>
      <c r="AA337" s="1123">
        <f t="shared" ca="1" si="77"/>
        <v>0</v>
      </c>
      <c r="AB337" s="1125" t="str">
        <f t="shared" ca="1" si="78"/>
        <v>1-3-0</v>
      </c>
    </row>
    <row r="338" spans="1:28" ht="15" customHeight="1" x14ac:dyDescent="0.2">
      <c r="A338" s="417" t="s">
        <v>66</v>
      </c>
      <c r="B338" s="417" t="s">
        <v>79</v>
      </c>
      <c r="C338" s="417" t="s">
        <v>218</v>
      </c>
      <c r="D338" s="1111" t="s">
        <v>25</v>
      </c>
      <c r="E338" s="417">
        <v>3</v>
      </c>
      <c r="F338" s="100" t="str">
        <f t="shared" si="73"/>
        <v>THREAT-33</v>
      </c>
      <c r="G338" s="100">
        <f t="shared" si="74"/>
        <v>4</v>
      </c>
      <c r="H338" s="133" t="e">
        <f t="shared" ca="1" si="76"/>
        <v>#VALUE!</v>
      </c>
      <c r="I338" s="133">
        <f t="shared" ca="1" si="75"/>
        <v>0</v>
      </c>
      <c r="W338" s="1121" t="str">
        <f ca="1">AB338&amp;"-"&amp;COUNTIF($AB$2:$AB338,$AB338)</f>
        <v>1-3-0-44</v>
      </c>
      <c r="X338" s="1127" t="s">
        <v>218</v>
      </c>
      <c r="Y338" s="1123">
        <f t="shared" ca="1" si="72"/>
        <v>1</v>
      </c>
      <c r="Z338" s="1126">
        <v>3</v>
      </c>
      <c r="AA338" s="1123">
        <f t="shared" ca="1" si="77"/>
        <v>0</v>
      </c>
      <c r="AB338" s="1125" t="str">
        <f t="shared" ca="1" si="78"/>
        <v>1-3-0</v>
      </c>
    </row>
    <row r="339" spans="1:28" ht="15" customHeight="1" x14ac:dyDescent="0.2">
      <c r="A339" s="417" t="s">
        <v>66</v>
      </c>
      <c r="B339" s="417" t="s">
        <v>79</v>
      </c>
      <c r="C339" s="417" t="s">
        <v>219</v>
      </c>
      <c r="D339" s="1111" t="s">
        <v>26</v>
      </c>
      <c r="E339" s="417">
        <v>3</v>
      </c>
      <c r="F339" s="100" t="str">
        <f t="shared" si="73"/>
        <v>THREAT-33</v>
      </c>
      <c r="G339" s="100">
        <f t="shared" si="74"/>
        <v>4</v>
      </c>
      <c r="H339" s="133" t="e">
        <f t="shared" ca="1" si="76"/>
        <v>#VALUE!</v>
      </c>
      <c r="I339" s="133">
        <f t="shared" ca="1" si="75"/>
        <v>0</v>
      </c>
      <c r="W339" s="1121" t="str">
        <f ca="1">AB339&amp;"-"&amp;COUNTIF($AB$2:$AB339,$AB339)</f>
        <v>1-3-0-45</v>
      </c>
      <c r="X339" s="1127" t="s">
        <v>219</v>
      </c>
      <c r="Y339" s="1123">
        <f t="shared" ca="1" si="72"/>
        <v>1</v>
      </c>
      <c r="Z339" s="1126">
        <v>3</v>
      </c>
      <c r="AA339" s="1123">
        <f t="shared" ca="1" si="77"/>
        <v>0</v>
      </c>
      <c r="AB339" s="1125" t="str">
        <f t="shared" ca="1" si="78"/>
        <v>1-3-0</v>
      </c>
    </row>
    <row r="340" spans="1:28" ht="15" customHeight="1" x14ac:dyDescent="0.2">
      <c r="A340" s="417" t="s">
        <v>66</v>
      </c>
      <c r="B340" s="417" t="s">
        <v>79</v>
      </c>
      <c r="C340" s="417" t="s">
        <v>220</v>
      </c>
      <c r="D340" s="1111" t="s">
        <v>27</v>
      </c>
      <c r="E340" s="417">
        <v>3</v>
      </c>
      <c r="F340" s="100" t="str">
        <f t="shared" si="73"/>
        <v>THREAT-33</v>
      </c>
      <c r="G340" s="100">
        <f t="shared" si="74"/>
        <v>4</v>
      </c>
      <c r="H340" s="133" t="e">
        <f t="shared" ca="1" si="76"/>
        <v>#VALUE!</v>
      </c>
      <c r="I340" s="133">
        <f t="shared" ca="1" si="75"/>
        <v>0</v>
      </c>
      <c r="W340" s="1121" t="str">
        <f ca="1">AB340&amp;"-"&amp;COUNTIF($AB$2:$AB340,$AB340)</f>
        <v>1-3-0-46</v>
      </c>
      <c r="X340" s="1127" t="s">
        <v>220</v>
      </c>
      <c r="Y340" s="1123">
        <f t="shared" ca="1" si="72"/>
        <v>1</v>
      </c>
      <c r="Z340" s="1126">
        <v>3</v>
      </c>
      <c r="AA340" s="1123">
        <f t="shared" ca="1" si="77"/>
        <v>0</v>
      </c>
      <c r="AB340" s="1125" t="str">
        <f t="shared" ca="1" si="78"/>
        <v>1-3-0</v>
      </c>
    </row>
    <row r="341" spans="1:28" ht="15" customHeight="1" x14ac:dyDescent="0.2">
      <c r="A341" s="130" t="s">
        <v>77</v>
      </c>
      <c r="B341" s="130" t="s">
        <v>110</v>
      </c>
      <c r="C341" s="130" t="s">
        <v>315</v>
      </c>
      <c r="D341" s="1112" t="s">
        <v>5</v>
      </c>
      <c r="E341" s="130">
        <v>1</v>
      </c>
      <c r="F341" s="100" t="str">
        <f t="shared" si="73"/>
        <v>WORKFORCE-11</v>
      </c>
      <c r="G341" s="100">
        <f t="shared" si="74"/>
        <v>2</v>
      </c>
      <c r="H341" s="133" t="e">
        <f t="shared" ca="1" si="76"/>
        <v>#VALUE!</v>
      </c>
      <c r="I341" s="133">
        <f t="shared" ca="1" si="75"/>
        <v>0</v>
      </c>
      <c r="W341" s="1121" t="str">
        <f ca="1">AB341&amp;"-"&amp;COUNTIF($AB$2:$AB341,$AB341)</f>
        <v>0-1-0-58</v>
      </c>
      <c r="X341" s="1127" t="s">
        <v>315</v>
      </c>
      <c r="Y341" s="1123">
        <f t="shared" ca="1" si="72"/>
        <v>0</v>
      </c>
      <c r="Z341" s="1126">
        <v>1</v>
      </c>
      <c r="AA341" s="1123">
        <f t="shared" ca="1" si="77"/>
        <v>0</v>
      </c>
      <c r="AB341" s="1125" t="str">
        <f t="shared" ca="1" si="78"/>
        <v>0-1-0</v>
      </c>
    </row>
    <row r="342" spans="1:28" ht="15" customHeight="1" x14ac:dyDescent="0.2">
      <c r="A342" s="130" t="s">
        <v>77</v>
      </c>
      <c r="B342" s="130" t="s">
        <v>110</v>
      </c>
      <c r="C342" s="130" t="s">
        <v>316</v>
      </c>
      <c r="D342" s="1112" t="s">
        <v>7</v>
      </c>
      <c r="E342" s="130">
        <v>1</v>
      </c>
      <c r="F342" s="100" t="str">
        <f t="shared" si="73"/>
        <v>WORKFORCE-11</v>
      </c>
      <c r="G342" s="100">
        <f t="shared" si="74"/>
        <v>2</v>
      </c>
      <c r="H342" s="133" t="e">
        <f t="shared" ca="1" si="76"/>
        <v>#VALUE!</v>
      </c>
      <c r="I342" s="133">
        <f t="shared" ca="1" si="75"/>
        <v>0</v>
      </c>
      <c r="W342" s="1121" t="str">
        <f ca="1">AB342&amp;"-"&amp;COUNTIF($AB$2:$AB342,$AB342)</f>
        <v>0-1-0-59</v>
      </c>
      <c r="X342" s="1127" t="s">
        <v>316</v>
      </c>
      <c r="Y342" s="1123">
        <f t="shared" ca="1" si="72"/>
        <v>0</v>
      </c>
      <c r="Z342" s="1126">
        <v>1</v>
      </c>
      <c r="AA342" s="1123">
        <f t="shared" ca="1" si="77"/>
        <v>0</v>
      </c>
      <c r="AB342" s="1125" t="str">
        <f t="shared" ca="1" si="78"/>
        <v>0-1-0</v>
      </c>
    </row>
    <row r="343" spans="1:28" ht="15" customHeight="1" x14ac:dyDescent="0.2">
      <c r="A343" s="130" t="s">
        <v>77</v>
      </c>
      <c r="B343" s="130" t="s">
        <v>110</v>
      </c>
      <c r="C343" s="130" t="s">
        <v>317</v>
      </c>
      <c r="D343" s="1112" t="s">
        <v>8</v>
      </c>
      <c r="E343" s="130">
        <v>2</v>
      </c>
      <c r="F343" s="100" t="str">
        <f t="shared" si="73"/>
        <v>WORKFORCE-12</v>
      </c>
      <c r="G343" s="100">
        <f t="shared" si="74"/>
        <v>2</v>
      </c>
      <c r="H343" s="133" t="e">
        <f t="shared" ca="1" si="76"/>
        <v>#VALUE!</v>
      </c>
      <c r="I343" s="133">
        <f t="shared" ca="1" si="75"/>
        <v>0</v>
      </c>
      <c r="W343" s="1121" t="str">
        <f ca="1">AB343&amp;"-"&amp;COUNTIF($AB$2:$AB343,$AB343)</f>
        <v>0-2-0-128</v>
      </c>
      <c r="X343" s="1127" t="s">
        <v>317</v>
      </c>
      <c r="Y343" s="1123">
        <f t="shared" ca="1" si="72"/>
        <v>0</v>
      </c>
      <c r="Z343" s="1126">
        <v>2</v>
      </c>
      <c r="AA343" s="1123">
        <f t="shared" ca="1" si="77"/>
        <v>0</v>
      </c>
      <c r="AB343" s="1125" t="str">
        <f t="shared" ca="1" si="78"/>
        <v>0-2-0</v>
      </c>
    </row>
    <row r="344" spans="1:28" ht="15" customHeight="1" x14ac:dyDescent="0.2">
      <c r="A344" s="130" t="s">
        <v>77</v>
      </c>
      <c r="B344" s="130" t="s">
        <v>110</v>
      </c>
      <c r="C344" s="130" t="s">
        <v>318</v>
      </c>
      <c r="D344" s="1112" t="s">
        <v>9</v>
      </c>
      <c r="E344" s="130">
        <v>2</v>
      </c>
      <c r="F344" s="100" t="str">
        <f t="shared" si="73"/>
        <v>WORKFORCE-12</v>
      </c>
      <c r="G344" s="100">
        <f t="shared" si="74"/>
        <v>2</v>
      </c>
      <c r="H344" s="133" t="e">
        <f t="shared" ca="1" si="76"/>
        <v>#VALUE!</v>
      </c>
      <c r="I344" s="133">
        <f t="shared" ca="1" si="75"/>
        <v>0</v>
      </c>
      <c r="W344" s="1121" t="str">
        <f ca="1">AB344&amp;"-"&amp;COUNTIF($AB$2:$AB344,$AB344)</f>
        <v>0-2-0-129</v>
      </c>
      <c r="X344" s="1127" t="s">
        <v>318</v>
      </c>
      <c r="Y344" s="1123">
        <f t="shared" ca="1" si="72"/>
        <v>0</v>
      </c>
      <c r="Z344" s="1126">
        <v>2</v>
      </c>
      <c r="AA344" s="1123">
        <f t="shared" ca="1" si="77"/>
        <v>0</v>
      </c>
      <c r="AB344" s="1125" t="str">
        <f t="shared" ca="1" si="78"/>
        <v>0-2-0</v>
      </c>
    </row>
    <row r="345" spans="1:28" ht="15" customHeight="1" x14ac:dyDescent="0.2">
      <c r="A345" s="130" t="s">
        <v>77</v>
      </c>
      <c r="B345" s="130" t="s">
        <v>110</v>
      </c>
      <c r="C345" s="130" t="s">
        <v>319</v>
      </c>
      <c r="D345" s="1112" t="s">
        <v>10</v>
      </c>
      <c r="E345" s="130">
        <v>3</v>
      </c>
      <c r="F345" s="100" t="str">
        <f t="shared" si="73"/>
        <v>WORKFORCE-13</v>
      </c>
      <c r="G345" s="100">
        <f t="shared" si="74"/>
        <v>2</v>
      </c>
      <c r="H345" s="133" t="e">
        <f t="shared" ca="1" si="76"/>
        <v>#VALUE!</v>
      </c>
      <c r="I345" s="133">
        <f t="shared" ca="1" si="75"/>
        <v>0</v>
      </c>
      <c r="W345" s="1121" t="str">
        <f ca="1">AB345&amp;"-"&amp;COUNTIF($AB$2:$AB345,$AB345)</f>
        <v>0-3-0-86</v>
      </c>
      <c r="X345" s="1127" t="s">
        <v>319</v>
      </c>
      <c r="Y345" s="1123">
        <f t="shared" ca="1" si="72"/>
        <v>0</v>
      </c>
      <c r="Z345" s="1126">
        <v>3</v>
      </c>
      <c r="AA345" s="1123">
        <f t="shared" ca="1" si="77"/>
        <v>0</v>
      </c>
      <c r="AB345" s="1125" t="str">
        <f t="shared" ca="1" si="78"/>
        <v>0-3-0</v>
      </c>
    </row>
    <row r="346" spans="1:28" ht="15" customHeight="1" x14ac:dyDescent="0.2">
      <c r="A346" s="130" t="s">
        <v>77</v>
      </c>
      <c r="B346" s="130" t="s">
        <v>110</v>
      </c>
      <c r="C346" s="130" t="s">
        <v>320</v>
      </c>
      <c r="D346" s="1112" t="s">
        <v>11</v>
      </c>
      <c r="E346" s="130">
        <v>3</v>
      </c>
      <c r="F346" s="100" t="str">
        <f t="shared" si="73"/>
        <v>WORKFORCE-13</v>
      </c>
      <c r="G346" s="100">
        <f t="shared" si="74"/>
        <v>2</v>
      </c>
      <c r="H346" s="133" t="e">
        <f t="shared" ca="1" si="76"/>
        <v>#VALUE!</v>
      </c>
      <c r="I346" s="133">
        <f t="shared" ca="1" si="75"/>
        <v>0</v>
      </c>
      <c r="W346" s="1121" t="str">
        <f ca="1">AB346&amp;"-"&amp;COUNTIF($AB$2:$AB346,$AB346)</f>
        <v>0-3-0-87</v>
      </c>
      <c r="X346" s="1127" t="s">
        <v>320</v>
      </c>
      <c r="Y346" s="1123">
        <f t="shared" ca="1" si="72"/>
        <v>0</v>
      </c>
      <c r="Z346" s="1126">
        <v>3</v>
      </c>
      <c r="AA346" s="1123">
        <f t="shared" ca="1" si="77"/>
        <v>0</v>
      </c>
      <c r="AB346" s="1125" t="str">
        <f t="shared" ca="1" si="78"/>
        <v>0-3-0</v>
      </c>
    </row>
    <row r="347" spans="1:28" ht="15" customHeight="1" x14ac:dyDescent="0.2">
      <c r="A347" s="130" t="s">
        <v>77</v>
      </c>
      <c r="B347" s="130" t="s">
        <v>112</v>
      </c>
      <c r="C347" s="130" t="s">
        <v>321</v>
      </c>
      <c r="D347" s="1112" t="s">
        <v>17</v>
      </c>
      <c r="E347" s="130">
        <v>1</v>
      </c>
      <c r="F347" s="100" t="str">
        <f t="shared" si="73"/>
        <v>WORKFORCE-21</v>
      </c>
      <c r="G347" s="100">
        <f t="shared" si="74"/>
        <v>2</v>
      </c>
      <c r="H347" s="133" t="e">
        <f t="shared" ca="1" si="76"/>
        <v>#VALUE!</v>
      </c>
      <c r="I347" s="133">
        <f t="shared" ca="1" si="75"/>
        <v>0</v>
      </c>
      <c r="W347" s="1121" t="str">
        <f ca="1">AB347&amp;"-"&amp;COUNTIF($AB$2:$AB347,$AB347)</f>
        <v>0-1-0-60</v>
      </c>
      <c r="X347" s="1127" t="s">
        <v>321</v>
      </c>
      <c r="Y347" s="1123">
        <f t="shared" ca="1" si="72"/>
        <v>0</v>
      </c>
      <c r="Z347" s="1126">
        <v>1</v>
      </c>
      <c r="AA347" s="1123">
        <f t="shared" ca="1" si="77"/>
        <v>0</v>
      </c>
      <c r="AB347" s="1125" t="str">
        <f t="shared" ca="1" si="78"/>
        <v>0-1-0</v>
      </c>
    </row>
    <row r="348" spans="1:28" ht="15" customHeight="1" x14ac:dyDescent="0.2">
      <c r="A348" s="130" t="s">
        <v>77</v>
      </c>
      <c r="B348" s="130" t="s">
        <v>112</v>
      </c>
      <c r="C348" s="130" t="s">
        <v>322</v>
      </c>
      <c r="D348" s="1112" t="s">
        <v>18</v>
      </c>
      <c r="E348" s="130">
        <v>1</v>
      </c>
      <c r="F348" s="100" t="str">
        <f t="shared" si="73"/>
        <v>WORKFORCE-21</v>
      </c>
      <c r="G348" s="100">
        <f t="shared" si="74"/>
        <v>2</v>
      </c>
      <c r="H348" s="133" t="e">
        <f t="shared" ca="1" si="76"/>
        <v>#VALUE!</v>
      </c>
      <c r="I348" s="133">
        <f t="shared" ca="1" si="75"/>
        <v>0</v>
      </c>
      <c r="W348" s="1121" t="str">
        <f ca="1">AB348&amp;"-"&amp;COUNTIF($AB$2:$AB348,$AB348)</f>
        <v>0-1-0-61</v>
      </c>
      <c r="X348" s="1127" t="s">
        <v>322</v>
      </c>
      <c r="Y348" s="1123">
        <f t="shared" ca="1" si="72"/>
        <v>0</v>
      </c>
      <c r="Z348" s="1126">
        <v>1</v>
      </c>
      <c r="AA348" s="1123">
        <f t="shared" ca="1" si="77"/>
        <v>0</v>
      </c>
      <c r="AB348" s="1125" t="str">
        <f t="shared" ca="1" si="78"/>
        <v>0-1-0</v>
      </c>
    </row>
    <row r="349" spans="1:28" ht="15" customHeight="1" x14ac:dyDescent="0.2">
      <c r="A349" s="130" t="s">
        <v>77</v>
      </c>
      <c r="B349" s="130" t="s">
        <v>112</v>
      </c>
      <c r="C349" s="130" t="s">
        <v>323</v>
      </c>
      <c r="D349" s="1112" t="s">
        <v>19</v>
      </c>
      <c r="E349" s="130">
        <v>2</v>
      </c>
      <c r="F349" s="100" t="str">
        <f t="shared" si="73"/>
        <v>WORKFORCE-22</v>
      </c>
      <c r="G349" s="100">
        <f t="shared" si="74"/>
        <v>2</v>
      </c>
      <c r="H349" s="133" t="e">
        <f t="shared" ca="1" si="76"/>
        <v>#VALUE!</v>
      </c>
      <c r="I349" s="133">
        <f t="shared" ca="1" si="75"/>
        <v>0</v>
      </c>
      <c r="W349" s="1121" t="str">
        <f ca="1">AB349&amp;"-"&amp;COUNTIF($AB$2:$AB349,$AB349)</f>
        <v>0-2-0-130</v>
      </c>
      <c r="X349" s="1127" t="s">
        <v>323</v>
      </c>
      <c r="Y349" s="1123">
        <f t="shared" ca="1" si="72"/>
        <v>0</v>
      </c>
      <c r="Z349" s="1126">
        <v>2</v>
      </c>
      <c r="AA349" s="1123">
        <f t="shared" ca="1" si="77"/>
        <v>0</v>
      </c>
      <c r="AB349" s="1125" t="str">
        <f t="shared" ca="1" si="78"/>
        <v>0-2-0</v>
      </c>
    </row>
    <row r="350" spans="1:28" ht="15" customHeight="1" x14ac:dyDescent="0.2">
      <c r="A350" s="130" t="s">
        <v>77</v>
      </c>
      <c r="B350" s="130" t="s">
        <v>112</v>
      </c>
      <c r="C350" s="130" t="s">
        <v>324</v>
      </c>
      <c r="D350" s="1112" t="s">
        <v>20</v>
      </c>
      <c r="E350" s="130">
        <v>2</v>
      </c>
      <c r="F350" s="100" t="str">
        <f t="shared" si="73"/>
        <v>WORKFORCE-22</v>
      </c>
      <c r="G350" s="100">
        <f t="shared" si="74"/>
        <v>2</v>
      </c>
      <c r="H350" s="133" t="e">
        <f t="shared" ca="1" si="76"/>
        <v>#VALUE!</v>
      </c>
      <c r="I350" s="133">
        <f t="shared" ca="1" si="75"/>
        <v>0</v>
      </c>
      <c r="W350" s="1121" t="str">
        <f ca="1">AB350&amp;"-"&amp;COUNTIF($AB$2:$AB350,$AB350)</f>
        <v>0-2-0-131</v>
      </c>
      <c r="X350" s="1127" t="s">
        <v>324</v>
      </c>
      <c r="Y350" s="1123">
        <f t="shared" ca="1" si="72"/>
        <v>0</v>
      </c>
      <c r="Z350" s="1126">
        <v>2</v>
      </c>
      <c r="AA350" s="1123">
        <f t="shared" ca="1" si="77"/>
        <v>0</v>
      </c>
      <c r="AB350" s="1125" t="str">
        <f t="shared" ca="1" si="78"/>
        <v>0-2-0</v>
      </c>
    </row>
    <row r="351" spans="1:28" ht="15" customHeight="1" x14ac:dyDescent="0.2">
      <c r="A351" s="130" t="s">
        <v>77</v>
      </c>
      <c r="B351" s="130" t="s">
        <v>112</v>
      </c>
      <c r="C351" s="130" t="s">
        <v>325</v>
      </c>
      <c r="D351" s="1112" t="s">
        <v>21</v>
      </c>
      <c r="E351" s="130">
        <v>3</v>
      </c>
      <c r="F351" s="100" t="str">
        <f t="shared" si="73"/>
        <v>WORKFORCE-23</v>
      </c>
      <c r="G351" s="100">
        <f t="shared" si="74"/>
        <v>2</v>
      </c>
      <c r="H351" s="133" t="e">
        <f t="shared" ca="1" si="76"/>
        <v>#VALUE!</v>
      </c>
      <c r="I351" s="133">
        <f t="shared" ca="1" si="75"/>
        <v>0</v>
      </c>
      <c r="W351" s="1121" t="str">
        <f ca="1">AB351&amp;"-"&amp;COUNTIF($AB$2:$AB351,$AB351)</f>
        <v>0-3-0-88</v>
      </c>
      <c r="X351" s="1127" t="s">
        <v>325</v>
      </c>
      <c r="Y351" s="1123">
        <f t="shared" ca="1" si="72"/>
        <v>0</v>
      </c>
      <c r="Z351" s="1126">
        <v>3</v>
      </c>
      <c r="AA351" s="1123">
        <f t="shared" ca="1" si="77"/>
        <v>0</v>
      </c>
      <c r="AB351" s="1125" t="str">
        <f t="shared" ca="1" si="78"/>
        <v>0-3-0</v>
      </c>
    </row>
    <row r="352" spans="1:28" ht="15" customHeight="1" x14ac:dyDescent="0.2">
      <c r="A352" s="130" t="s">
        <v>77</v>
      </c>
      <c r="B352" s="130" t="s">
        <v>112</v>
      </c>
      <c r="C352" s="130" t="s">
        <v>326</v>
      </c>
      <c r="D352" s="1112" t="s">
        <v>109</v>
      </c>
      <c r="E352" s="130">
        <v>3</v>
      </c>
      <c r="F352" s="100" t="str">
        <f t="shared" si="73"/>
        <v>WORKFORCE-23</v>
      </c>
      <c r="G352" s="100">
        <f t="shared" si="74"/>
        <v>2</v>
      </c>
      <c r="H352" s="133" t="e">
        <f t="shared" ca="1" si="76"/>
        <v>#VALUE!</v>
      </c>
      <c r="I352" s="133">
        <f t="shared" ca="1" si="75"/>
        <v>0</v>
      </c>
      <c r="W352" s="1121" t="str">
        <f ca="1">AB352&amp;"-"&amp;COUNTIF($AB$2:$AB352,$AB352)</f>
        <v>0-3-0-89</v>
      </c>
      <c r="X352" s="1127" t="s">
        <v>326</v>
      </c>
      <c r="Y352" s="1123">
        <f t="shared" ca="1" si="72"/>
        <v>0</v>
      </c>
      <c r="Z352" s="1126">
        <v>3</v>
      </c>
      <c r="AA352" s="1123">
        <f t="shared" ca="1" si="77"/>
        <v>0</v>
      </c>
      <c r="AB352" s="1125" t="str">
        <f t="shared" ca="1" si="78"/>
        <v>0-3-0</v>
      </c>
    </row>
    <row r="353" spans="1:28" ht="15" customHeight="1" x14ac:dyDescent="0.2">
      <c r="A353" s="130" t="s">
        <v>77</v>
      </c>
      <c r="B353" s="130" t="s">
        <v>114</v>
      </c>
      <c r="C353" s="130" t="s">
        <v>327</v>
      </c>
      <c r="D353" s="1112" t="s">
        <v>22</v>
      </c>
      <c r="E353" s="130">
        <v>1</v>
      </c>
      <c r="F353" s="100" t="str">
        <f t="shared" si="73"/>
        <v>WORKFORCE-31</v>
      </c>
      <c r="G353" s="100">
        <f t="shared" si="74"/>
        <v>2</v>
      </c>
      <c r="H353" s="133" t="e">
        <f t="shared" ca="1" si="76"/>
        <v>#VALUE!</v>
      </c>
      <c r="I353" s="133">
        <f t="shared" ca="1" si="75"/>
        <v>0</v>
      </c>
      <c r="W353" s="1121" t="str">
        <f ca="1">AB353&amp;"-"&amp;COUNTIF($AB$2:$AB353,$AB353)</f>
        <v>0-1-0-62</v>
      </c>
      <c r="X353" s="1127" t="s">
        <v>327</v>
      </c>
      <c r="Y353" s="1123">
        <f t="shared" ca="1" si="72"/>
        <v>0</v>
      </c>
      <c r="Z353" s="1126">
        <v>1</v>
      </c>
      <c r="AA353" s="1123">
        <f t="shared" ca="1" si="77"/>
        <v>0</v>
      </c>
      <c r="AB353" s="1125" t="str">
        <f t="shared" ca="1" si="78"/>
        <v>0-1-0</v>
      </c>
    </row>
    <row r="354" spans="1:28" ht="15" customHeight="1" x14ac:dyDescent="0.2">
      <c r="A354" s="130" t="s">
        <v>77</v>
      </c>
      <c r="B354" s="130" t="s">
        <v>114</v>
      </c>
      <c r="C354" s="130" t="s">
        <v>328</v>
      </c>
      <c r="D354" s="1112" t="s">
        <v>23</v>
      </c>
      <c r="E354" s="130">
        <v>1</v>
      </c>
      <c r="F354" s="100" t="str">
        <f t="shared" si="73"/>
        <v>WORKFORCE-31</v>
      </c>
      <c r="G354" s="100">
        <f t="shared" si="74"/>
        <v>2</v>
      </c>
      <c r="H354" s="133" t="e">
        <f t="shared" ca="1" si="76"/>
        <v>#VALUE!</v>
      </c>
      <c r="I354" s="133">
        <f t="shared" ca="1" si="75"/>
        <v>0</v>
      </c>
      <c r="W354" s="1121" t="str">
        <f ca="1">AB354&amp;"-"&amp;COUNTIF($AB$2:$AB354,$AB354)</f>
        <v>0-1-0-63</v>
      </c>
      <c r="X354" s="1127" t="s">
        <v>328</v>
      </c>
      <c r="Y354" s="1123">
        <f t="shared" ca="1" si="72"/>
        <v>0</v>
      </c>
      <c r="Z354" s="1126">
        <v>1</v>
      </c>
      <c r="AA354" s="1123">
        <f t="shared" ca="1" si="77"/>
        <v>0</v>
      </c>
      <c r="AB354" s="1125" t="str">
        <f t="shared" ca="1" si="78"/>
        <v>0-1-0</v>
      </c>
    </row>
    <row r="355" spans="1:28" ht="15" customHeight="1" x14ac:dyDescent="0.2">
      <c r="A355" s="130" t="s">
        <v>77</v>
      </c>
      <c r="B355" s="130" t="s">
        <v>114</v>
      </c>
      <c r="C355" s="130" t="s">
        <v>329</v>
      </c>
      <c r="D355" s="1112" t="s">
        <v>24</v>
      </c>
      <c r="E355" s="130">
        <v>2</v>
      </c>
      <c r="F355" s="100" t="str">
        <f t="shared" si="73"/>
        <v>WORKFORCE-32</v>
      </c>
      <c r="G355" s="100">
        <f t="shared" si="74"/>
        <v>3</v>
      </c>
      <c r="H355" s="133" t="e">
        <f t="shared" ca="1" si="76"/>
        <v>#VALUE!</v>
      </c>
      <c r="I355" s="133">
        <f t="shared" ca="1" si="75"/>
        <v>0</v>
      </c>
      <c r="W355" s="1121" t="str">
        <f ca="1">AB355&amp;"-"&amp;COUNTIF($AB$2:$AB355,$AB355)</f>
        <v>0-2-0-132</v>
      </c>
      <c r="X355" s="1127" t="s">
        <v>329</v>
      </c>
      <c r="Y355" s="1123">
        <f t="shared" ca="1" si="72"/>
        <v>0</v>
      </c>
      <c r="Z355" s="1126">
        <v>2</v>
      </c>
      <c r="AA355" s="1123">
        <f t="shared" ca="1" si="77"/>
        <v>0</v>
      </c>
      <c r="AB355" s="1125" t="str">
        <f t="shared" ca="1" si="78"/>
        <v>0-2-0</v>
      </c>
    </row>
    <row r="356" spans="1:28" ht="15" customHeight="1" x14ac:dyDescent="0.2">
      <c r="A356" s="130" t="s">
        <v>77</v>
      </c>
      <c r="B356" s="130" t="s">
        <v>114</v>
      </c>
      <c r="C356" s="130" t="s">
        <v>330</v>
      </c>
      <c r="D356" s="1112" t="s">
        <v>25</v>
      </c>
      <c r="E356" s="130">
        <v>2</v>
      </c>
      <c r="F356" s="100" t="str">
        <f t="shared" si="73"/>
        <v>WORKFORCE-32</v>
      </c>
      <c r="G356" s="100">
        <f t="shared" si="74"/>
        <v>3</v>
      </c>
      <c r="H356" s="133" t="e">
        <f t="shared" ca="1" si="76"/>
        <v>#VALUE!</v>
      </c>
      <c r="I356" s="133">
        <f t="shared" ca="1" si="75"/>
        <v>0</v>
      </c>
      <c r="W356" s="1121" t="str">
        <f ca="1">AB356&amp;"-"&amp;COUNTIF($AB$2:$AB356,$AB356)</f>
        <v>0-2-0-133</v>
      </c>
      <c r="X356" s="1127" t="s">
        <v>330</v>
      </c>
      <c r="Y356" s="1123">
        <f t="shared" ca="1" si="72"/>
        <v>0</v>
      </c>
      <c r="Z356" s="1126">
        <v>2</v>
      </c>
      <c r="AA356" s="1123">
        <f t="shared" ca="1" si="77"/>
        <v>0</v>
      </c>
      <c r="AB356" s="1125" t="str">
        <f t="shared" ca="1" si="78"/>
        <v>0-2-0</v>
      </c>
    </row>
    <row r="357" spans="1:28" ht="15" customHeight="1" x14ac:dyDescent="0.2">
      <c r="A357" s="130" t="s">
        <v>77</v>
      </c>
      <c r="B357" s="130" t="s">
        <v>114</v>
      </c>
      <c r="C357" s="130" t="s">
        <v>331</v>
      </c>
      <c r="D357" s="1112" t="s">
        <v>26</v>
      </c>
      <c r="E357" s="130">
        <v>2</v>
      </c>
      <c r="F357" s="100" t="str">
        <f t="shared" si="73"/>
        <v>WORKFORCE-32</v>
      </c>
      <c r="G357" s="100">
        <f t="shared" si="74"/>
        <v>3</v>
      </c>
      <c r="H357" s="133" t="e">
        <f t="shared" ca="1" si="76"/>
        <v>#VALUE!</v>
      </c>
      <c r="I357" s="133">
        <f t="shared" ca="1" si="75"/>
        <v>0</v>
      </c>
      <c r="W357" s="1121" t="str">
        <f ca="1">AB357&amp;"-"&amp;COUNTIF($AB$2:$AB357,$AB357)</f>
        <v>0-2-0-134</v>
      </c>
      <c r="X357" s="1127" t="s">
        <v>331</v>
      </c>
      <c r="Y357" s="1123">
        <f t="shared" ca="1" si="72"/>
        <v>0</v>
      </c>
      <c r="Z357" s="1126">
        <v>2</v>
      </c>
      <c r="AA357" s="1123">
        <f t="shared" ca="1" si="77"/>
        <v>0</v>
      </c>
      <c r="AB357" s="1125" t="str">
        <f t="shared" ca="1" si="78"/>
        <v>0-2-0</v>
      </c>
    </row>
    <row r="358" spans="1:28" ht="15" customHeight="1" x14ac:dyDescent="0.2">
      <c r="A358" s="130" t="s">
        <v>77</v>
      </c>
      <c r="B358" s="130" t="s">
        <v>114</v>
      </c>
      <c r="C358" s="130" t="s">
        <v>332</v>
      </c>
      <c r="D358" s="1112" t="s">
        <v>27</v>
      </c>
      <c r="E358" s="130">
        <v>3</v>
      </c>
      <c r="F358" s="100" t="str">
        <f t="shared" si="73"/>
        <v>WORKFORCE-33</v>
      </c>
      <c r="G358" s="100">
        <f t="shared" si="74"/>
        <v>2</v>
      </c>
      <c r="H358" s="133" t="e">
        <f t="shared" ca="1" si="76"/>
        <v>#VALUE!</v>
      </c>
      <c r="I358" s="133">
        <f t="shared" ca="1" si="75"/>
        <v>0</v>
      </c>
      <c r="W358" s="1121" t="str">
        <f ca="1">AB358&amp;"-"&amp;COUNTIF($AB$2:$AB358,$AB358)</f>
        <v>0-3-0-90</v>
      </c>
      <c r="X358" s="1127" t="s">
        <v>332</v>
      </c>
      <c r="Y358" s="1123">
        <f t="shared" ca="1" si="72"/>
        <v>0</v>
      </c>
      <c r="Z358" s="1126">
        <v>3</v>
      </c>
      <c r="AA358" s="1123">
        <f t="shared" ca="1" si="77"/>
        <v>0</v>
      </c>
      <c r="AB358" s="1125" t="str">
        <f t="shared" ca="1" si="78"/>
        <v>0-3-0</v>
      </c>
    </row>
    <row r="359" spans="1:28" ht="15" customHeight="1" x14ac:dyDescent="0.2">
      <c r="A359" s="130" t="s">
        <v>77</v>
      </c>
      <c r="B359" s="130" t="s">
        <v>114</v>
      </c>
      <c r="C359" s="130" t="s">
        <v>1077</v>
      </c>
      <c r="D359" s="1112" t="s">
        <v>28</v>
      </c>
      <c r="E359" s="130">
        <v>3</v>
      </c>
      <c r="F359" s="100" t="str">
        <f t="shared" si="73"/>
        <v>WORKFORCE-33</v>
      </c>
      <c r="G359" s="100">
        <f t="shared" si="74"/>
        <v>2</v>
      </c>
      <c r="H359" s="133" t="e">
        <f t="shared" ca="1" si="76"/>
        <v>#VALUE!</v>
      </c>
      <c r="I359" s="133">
        <f t="shared" ca="1" si="75"/>
        <v>0</v>
      </c>
      <c r="W359" s="1121" t="str">
        <f ca="1">AB359&amp;"-"&amp;COUNTIF($AB$2:$AB359,$AB359)</f>
        <v>0-3-0-91</v>
      </c>
      <c r="X359" s="1127" t="s">
        <v>1077</v>
      </c>
      <c r="Y359" s="1123">
        <f t="shared" ca="1" si="72"/>
        <v>0</v>
      </c>
      <c r="Z359" s="1126">
        <v>3</v>
      </c>
      <c r="AA359" s="1123">
        <f t="shared" ca="1" si="77"/>
        <v>0</v>
      </c>
      <c r="AB359" s="1125" t="str">
        <f t="shared" ca="1" si="78"/>
        <v>0-3-0</v>
      </c>
    </row>
    <row r="360" spans="1:28" ht="15" customHeight="1" x14ac:dyDescent="0.2">
      <c r="A360" s="130" t="s">
        <v>77</v>
      </c>
      <c r="B360" s="130" t="s">
        <v>116</v>
      </c>
      <c r="C360" s="130" t="s">
        <v>333</v>
      </c>
      <c r="D360" s="1112" t="s">
        <v>123</v>
      </c>
      <c r="E360" s="130">
        <v>1</v>
      </c>
      <c r="F360" s="100" t="str">
        <f t="shared" si="73"/>
        <v>WORKFORCE-41</v>
      </c>
      <c r="G360" s="100">
        <f t="shared" si="74"/>
        <v>1</v>
      </c>
      <c r="H360" s="133" t="e">
        <f t="shared" ca="1" si="76"/>
        <v>#VALUE!</v>
      </c>
      <c r="I360" s="133">
        <f t="shared" ca="1" si="75"/>
        <v>0</v>
      </c>
      <c r="W360" s="1121" t="str">
        <f ca="1">AB360&amp;"-"&amp;COUNTIF($AB$2:$AB360,$AB360)</f>
        <v>0-1-0-64</v>
      </c>
      <c r="X360" s="1127" t="s">
        <v>333</v>
      </c>
      <c r="Y360" s="1123">
        <f t="shared" ca="1" si="72"/>
        <v>0</v>
      </c>
      <c r="Z360" s="1126">
        <v>1</v>
      </c>
      <c r="AA360" s="1123">
        <f t="shared" ca="1" si="77"/>
        <v>0</v>
      </c>
      <c r="AB360" s="1125" t="str">
        <f t="shared" ca="1" si="78"/>
        <v>0-1-0</v>
      </c>
    </row>
    <row r="361" spans="1:28" ht="15" customHeight="1" x14ac:dyDescent="0.2">
      <c r="A361" s="130" t="s">
        <v>77</v>
      </c>
      <c r="B361" s="130" t="s">
        <v>116</v>
      </c>
      <c r="C361" s="130" t="s">
        <v>334</v>
      </c>
      <c r="D361" s="1112" t="s">
        <v>126</v>
      </c>
      <c r="E361" s="130">
        <v>2</v>
      </c>
      <c r="F361" s="100" t="str">
        <f t="shared" si="73"/>
        <v>WORKFORCE-42</v>
      </c>
      <c r="G361" s="100">
        <f t="shared" si="74"/>
        <v>2</v>
      </c>
      <c r="H361" s="133" t="e">
        <f t="shared" ca="1" si="76"/>
        <v>#VALUE!</v>
      </c>
      <c r="I361" s="133">
        <f t="shared" ca="1" si="75"/>
        <v>0</v>
      </c>
      <c r="W361" s="1121" t="str">
        <f ca="1">AB361&amp;"-"&amp;COUNTIF($AB$2:$AB361,$AB361)</f>
        <v>0-2-0-135</v>
      </c>
      <c r="X361" s="1127" t="s">
        <v>334</v>
      </c>
      <c r="Y361" s="1123">
        <f t="shared" ca="1" si="72"/>
        <v>0</v>
      </c>
      <c r="Z361" s="1126">
        <v>2</v>
      </c>
      <c r="AA361" s="1123">
        <f t="shared" ca="1" si="77"/>
        <v>0</v>
      </c>
      <c r="AB361" s="1125" t="str">
        <f t="shared" ca="1" si="78"/>
        <v>0-2-0</v>
      </c>
    </row>
    <row r="362" spans="1:28" ht="15" customHeight="1" x14ac:dyDescent="0.2">
      <c r="A362" s="130" t="s">
        <v>77</v>
      </c>
      <c r="B362" s="130" t="s">
        <v>116</v>
      </c>
      <c r="C362" s="130" t="s">
        <v>335</v>
      </c>
      <c r="D362" s="1112" t="s">
        <v>129</v>
      </c>
      <c r="E362" s="130">
        <v>2</v>
      </c>
      <c r="F362" s="100" t="str">
        <f t="shared" si="73"/>
        <v>WORKFORCE-42</v>
      </c>
      <c r="G362" s="100">
        <f t="shared" si="74"/>
        <v>2</v>
      </c>
      <c r="H362" s="133" t="e">
        <f t="shared" ca="1" si="76"/>
        <v>#VALUE!</v>
      </c>
      <c r="I362" s="133">
        <f t="shared" ca="1" si="75"/>
        <v>0</v>
      </c>
      <c r="W362" s="1121" t="str">
        <f ca="1">AB362&amp;"-"&amp;COUNTIF($AB$2:$AB362,$AB362)</f>
        <v>0-2-0-136</v>
      </c>
      <c r="X362" s="1127" t="s">
        <v>335</v>
      </c>
      <c r="Y362" s="1123">
        <f t="shared" ca="1" si="72"/>
        <v>0</v>
      </c>
      <c r="Z362" s="1126">
        <v>2</v>
      </c>
      <c r="AA362" s="1123">
        <f t="shared" ca="1" si="77"/>
        <v>0</v>
      </c>
      <c r="AB362" s="1125" t="str">
        <f t="shared" ca="1" si="78"/>
        <v>0-2-0</v>
      </c>
    </row>
    <row r="363" spans="1:28" ht="15" customHeight="1" x14ac:dyDescent="0.2">
      <c r="A363" s="130" t="s">
        <v>77</v>
      </c>
      <c r="B363" s="130" t="s">
        <v>116</v>
      </c>
      <c r="C363" s="130" t="s">
        <v>336</v>
      </c>
      <c r="D363" s="1112" t="s">
        <v>132</v>
      </c>
      <c r="E363" s="130">
        <v>3</v>
      </c>
      <c r="F363" s="100" t="str">
        <f t="shared" si="73"/>
        <v>WORKFORCE-43</v>
      </c>
      <c r="G363" s="100">
        <f t="shared" si="74"/>
        <v>2</v>
      </c>
      <c r="H363" s="133" t="e">
        <f t="shared" ca="1" si="76"/>
        <v>#VALUE!</v>
      </c>
      <c r="I363" s="133">
        <f t="shared" ca="1" si="75"/>
        <v>0</v>
      </c>
      <c r="W363" s="1121" t="str">
        <f ca="1">AB363&amp;"-"&amp;COUNTIF($AB$2:$AB363,$AB363)</f>
        <v>0-3-0-92</v>
      </c>
      <c r="X363" s="1127" t="s">
        <v>336</v>
      </c>
      <c r="Y363" s="1123">
        <f t="shared" ca="1" si="72"/>
        <v>0</v>
      </c>
      <c r="Z363" s="1126">
        <v>3</v>
      </c>
      <c r="AA363" s="1123">
        <f t="shared" ca="1" si="77"/>
        <v>0</v>
      </c>
      <c r="AB363" s="1125" t="str">
        <f t="shared" ca="1" si="78"/>
        <v>0-3-0</v>
      </c>
    </row>
    <row r="364" spans="1:28" ht="15" customHeight="1" x14ac:dyDescent="0.2">
      <c r="A364" s="130" t="s">
        <v>77</v>
      </c>
      <c r="B364" s="130" t="s">
        <v>116</v>
      </c>
      <c r="C364" s="130" t="s">
        <v>337</v>
      </c>
      <c r="D364" s="1112" t="s">
        <v>135</v>
      </c>
      <c r="E364" s="130">
        <v>3</v>
      </c>
      <c r="F364" s="100" t="str">
        <f t="shared" si="73"/>
        <v>WORKFORCE-43</v>
      </c>
      <c r="G364" s="100">
        <f t="shared" si="74"/>
        <v>2</v>
      </c>
      <c r="H364" s="133" t="e">
        <f t="shared" ca="1" si="76"/>
        <v>#VALUE!</v>
      </c>
      <c r="I364" s="133">
        <f t="shared" ca="1" si="75"/>
        <v>0</v>
      </c>
      <c r="W364" s="1121" t="str">
        <f ca="1">AB364&amp;"-"&amp;COUNTIF($AB$2:$AB364,$AB364)</f>
        <v>0-3-0-93</v>
      </c>
      <c r="X364" s="1127" t="s">
        <v>337</v>
      </c>
      <c r="Y364" s="1123">
        <f t="shared" ca="1" si="72"/>
        <v>0</v>
      </c>
      <c r="Z364" s="1126">
        <v>3</v>
      </c>
      <c r="AA364" s="1123">
        <f t="shared" ca="1" si="77"/>
        <v>0</v>
      </c>
      <c r="AB364" s="1125" t="str">
        <f t="shared" ca="1" si="78"/>
        <v>0-3-0</v>
      </c>
    </row>
    <row r="365" spans="1:28" ht="15" customHeight="1" x14ac:dyDescent="0.2">
      <c r="A365" s="130" t="s">
        <v>77</v>
      </c>
      <c r="B365" s="130" t="s">
        <v>118</v>
      </c>
      <c r="C365" s="130" t="s">
        <v>338</v>
      </c>
      <c r="D365" s="1112" t="s">
        <v>140</v>
      </c>
      <c r="E365" s="130">
        <v>2</v>
      </c>
      <c r="F365" s="100" t="str">
        <f t="shared" si="73"/>
        <v>WORKFORCE-52</v>
      </c>
      <c r="G365" s="100">
        <f t="shared" si="74"/>
        <v>2</v>
      </c>
      <c r="H365" s="133" t="e">
        <f t="shared" ca="1" si="76"/>
        <v>#VALUE!</v>
      </c>
      <c r="I365" s="133">
        <f t="shared" ca="1" si="75"/>
        <v>0</v>
      </c>
      <c r="W365" s="1121" t="str">
        <f ca="1">AB365&amp;"-"&amp;COUNTIF($AB$2:$AB365,$AB365)</f>
        <v>1-2-0-25</v>
      </c>
      <c r="X365" s="1127" t="s">
        <v>338</v>
      </c>
      <c r="Y365" s="1123">
        <f t="shared" ca="1" si="72"/>
        <v>1</v>
      </c>
      <c r="Z365" s="1126">
        <v>2</v>
      </c>
      <c r="AA365" s="1123">
        <f t="shared" ca="1" si="77"/>
        <v>0</v>
      </c>
      <c r="AB365" s="1125" t="str">
        <f t="shared" ca="1" si="78"/>
        <v>1-2-0</v>
      </c>
    </row>
    <row r="366" spans="1:28" ht="15" customHeight="1" x14ac:dyDescent="0.2">
      <c r="A366" s="130" t="s">
        <v>77</v>
      </c>
      <c r="B366" s="130" t="s">
        <v>118</v>
      </c>
      <c r="C366" s="130" t="s">
        <v>339</v>
      </c>
      <c r="D366" s="1112" t="s">
        <v>143</v>
      </c>
      <c r="E366" s="130">
        <v>2</v>
      </c>
      <c r="F366" s="100" t="str">
        <f t="shared" si="73"/>
        <v>WORKFORCE-52</v>
      </c>
      <c r="G366" s="100">
        <f t="shared" si="74"/>
        <v>2</v>
      </c>
      <c r="H366" s="133" t="e">
        <f t="shared" ca="1" si="76"/>
        <v>#VALUE!</v>
      </c>
      <c r="I366" s="133">
        <f t="shared" ca="1" si="75"/>
        <v>0</v>
      </c>
      <c r="W366" s="1121" t="str">
        <f ca="1">AB366&amp;"-"&amp;COUNTIF($AB$2:$AB366,$AB366)</f>
        <v>1-2-0-26</v>
      </c>
      <c r="X366" s="1127" t="s">
        <v>339</v>
      </c>
      <c r="Y366" s="1123">
        <f t="shared" ca="1" si="72"/>
        <v>1</v>
      </c>
      <c r="Z366" s="1126">
        <v>2</v>
      </c>
      <c r="AA366" s="1123">
        <f t="shared" ca="1" si="77"/>
        <v>0</v>
      </c>
      <c r="AB366" s="1125" t="str">
        <f t="shared" ca="1" si="78"/>
        <v>1-2-0</v>
      </c>
    </row>
    <row r="367" spans="1:28" ht="15" customHeight="1" x14ac:dyDescent="0.2">
      <c r="A367" s="130" t="s">
        <v>77</v>
      </c>
      <c r="B367" s="130" t="s">
        <v>118</v>
      </c>
      <c r="C367" s="130" t="s">
        <v>340</v>
      </c>
      <c r="D367" s="1112" t="s">
        <v>146</v>
      </c>
      <c r="E367" s="130">
        <v>3</v>
      </c>
      <c r="F367" s="100" t="str">
        <f t="shared" si="73"/>
        <v>WORKFORCE-53</v>
      </c>
      <c r="G367" s="100">
        <f t="shared" si="74"/>
        <v>4</v>
      </c>
      <c r="H367" s="133" t="e">
        <f t="shared" ca="1" si="76"/>
        <v>#VALUE!</v>
      </c>
      <c r="I367" s="133">
        <f t="shared" ca="1" si="75"/>
        <v>0</v>
      </c>
      <c r="W367" s="1121" t="str">
        <f ca="1">AB367&amp;"-"&amp;COUNTIF($AB$2:$AB367,$AB367)</f>
        <v>1-3-0-47</v>
      </c>
      <c r="X367" s="1127" t="s">
        <v>340</v>
      </c>
      <c r="Y367" s="1123">
        <f t="shared" ca="1" si="72"/>
        <v>1</v>
      </c>
      <c r="Z367" s="1126">
        <v>3</v>
      </c>
      <c r="AA367" s="1123">
        <f t="shared" ca="1" si="77"/>
        <v>0</v>
      </c>
      <c r="AB367" s="1125" t="str">
        <f t="shared" ca="1" si="78"/>
        <v>1-3-0</v>
      </c>
    </row>
    <row r="368" spans="1:28" ht="15" customHeight="1" x14ac:dyDescent="0.2">
      <c r="A368" s="130" t="s">
        <v>77</v>
      </c>
      <c r="B368" s="130" t="s">
        <v>118</v>
      </c>
      <c r="C368" s="130" t="s">
        <v>341</v>
      </c>
      <c r="D368" s="1112" t="s">
        <v>149</v>
      </c>
      <c r="E368" s="130">
        <v>3</v>
      </c>
      <c r="F368" s="100" t="str">
        <f t="shared" si="73"/>
        <v>WORKFORCE-53</v>
      </c>
      <c r="G368" s="100">
        <f t="shared" si="74"/>
        <v>4</v>
      </c>
      <c r="H368" s="133" t="e">
        <f t="shared" ca="1" si="76"/>
        <v>#VALUE!</v>
      </c>
      <c r="I368" s="133">
        <f t="shared" ca="1" si="75"/>
        <v>0</v>
      </c>
      <c r="W368" s="1121" t="str">
        <f ca="1">AB368&amp;"-"&amp;COUNTIF($AB$2:$AB368,$AB368)</f>
        <v>1-3-0-48</v>
      </c>
      <c r="X368" s="1127" t="s">
        <v>341</v>
      </c>
      <c r="Y368" s="1123">
        <f t="shared" ca="1" si="72"/>
        <v>1</v>
      </c>
      <c r="Z368" s="1126">
        <v>3</v>
      </c>
      <c r="AA368" s="1123">
        <f t="shared" ca="1" si="77"/>
        <v>0</v>
      </c>
      <c r="AB368" s="1125" t="str">
        <f t="shared" ca="1" si="78"/>
        <v>1-3-0</v>
      </c>
    </row>
    <row r="369" spans="1:28" ht="15" customHeight="1" x14ac:dyDescent="0.2">
      <c r="A369" s="130" t="s">
        <v>77</v>
      </c>
      <c r="B369" s="130" t="s">
        <v>118</v>
      </c>
      <c r="C369" s="130" t="s">
        <v>342</v>
      </c>
      <c r="D369" s="1112" t="s">
        <v>151</v>
      </c>
      <c r="E369" s="130">
        <v>3</v>
      </c>
      <c r="F369" s="100" t="str">
        <f t="shared" si="73"/>
        <v>WORKFORCE-53</v>
      </c>
      <c r="G369" s="100">
        <f t="shared" si="74"/>
        <v>4</v>
      </c>
      <c r="H369" s="133" t="e">
        <f t="shared" ca="1" si="76"/>
        <v>#VALUE!</v>
      </c>
      <c r="I369" s="133">
        <f t="shared" ca="1" si="75"/>
        <v>0</v>
      </c>
      <c r="W369" s="1121" t="str">
        <f ca="1">AB369&amp;"-"&amp;COUNTIF($AB$2:$AB369,$AB369)</f>
        <v>1-3-0-49</v>
      </c>
      <c r="X369" s="1127" t="s">
        <v>342</v>
      </c>
      <c r="Y369" s="1123">
        <f t="shared" ca="1" si="72"/>
        <v>1</v>
      </c>
      <c r="Z369" s="1126">
        <v>3</v>
      </c>
      <c r="AA369" s="1123">
        <f t="shared" ca="1" si="77"/>
        <v>0</v>
      </c>
      <c r="AB369" s="1125" t="str">
        <f t="shared" ca="1" si="78"/>
        <v>1-3-0</v>
      </c>
    </row>
    <row r="370" spans="1:28" ht="15" customHeight="1" x14ac:dyDescent="0.2">
      <c r="A370" s="130" t="s">
        <v>77</v>
      </c>
      <c r="B370" s="130" t="s">
        <v>118</v>
      </c>
      <c r="C370" s="130" t="s">
        <v>343</v>
      </c>
      <c r="D370" s="1112" t="s">
        <v>153</v>
      </c>
      <c r="E370" s="130">
        <v>3</v>
      </c>
      <c r="F370" s="100" t="str">
        <f t="shared" si="73"/>
        <v>WORKFORCE-53</v>
      </c>
      <c r="G370" s="100">
        <f t="shared" si="74"/>
        <v>4</v>
      </c>
      <c r="H370" s="133" t="e">
        <f t="shared" ca="1" si="76"/>
        <v>#VALUE!</v>
      </c>
      <c r="I370" s="133">
        <f t="shared" ca="1" si="75"/>
        <v>0</v>
      </c>
      <c r="W370" s="1128" t="str">
        <f ca="1">AB370&amp;"-"&amp;COUNTIF($AB$2:$AB370,$AB370)</f>
        <v>1-3-0-50</v>
      </c>
      <c r="X370" s="1129" t="s">
        <v>343</v>
      </c>
      <c r="Y370" s="1130">
        <f t="shared" ca="1" si="72"/>
        <v>1</v>
      </c>
      <c r="Z370" s="1131">
        <v>3</v>
      </c>
      <c r="AA370" s="1130">
        <f t="shared" ca="1" si="77"/>
        <v>0</v>
      </c>
      <c r="AB370" s="1132" t="str">
        <f t="shared" ca="1" si="78"/>
        <v>1-3-0</v>
      </c>
    </row>
  </sheetData>
  <sheetProtection sheet="1" objects="1" scenarios="1" autoFilter="0"/>
  <autoFilter ref="A1:I370">
    <sortState ref="A2:I370">
      <sortCondition ref="C1:C370"/>
    </sortState>
  </autoFilter>
  <sortState ref="R53:R109">
    <sortCondition ref="R53"/>
  </sortState>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V846"/>
  <sheetViews>
    <sheetView zoomScale="80" zoomScaleNormal="80" workbookViewId="0">
      <selection activeCell="G1" sqref="A1:G1"/>
    </sheetView>
  </sheetViews>
  <sheetFormatPr defaultRowHeight="13.8" x14ac:dyDescent="0.25"/>
  <cols>
    <col min="1" max="1" width="15.36328125" customWidth="1"/>
    <col min="2" max="2" width="6.6328125" style="615" customWidth="1"/>
    <col min="3" max="3" width="9.81640625" customWidth="1"/>
    <col min="4" max="4" width="9.1796875" customWidth="1"/>
    <col min="6" max="7" width="9.6328125" customWidth="1"/>
    <col min="8" max="8" width="5.6328125" customWidth="1"/>
    <col min="15" max="15" width="5.6328125" customWidth="1"/>
  </cols>
  <sheetData>
    <row r="1" spans="1:22" x14ac:dyDescent="0.25">
      <c r="A1" s="24" t="s">
        <v>1841</v>
      </c>
      <c r="B1" s="70" t="s">
        <v>666</v>
      </c>
      <c r="C1" s="24" t="s">
        <v>1842</v>
      </c>
      <c r="D1" s="24" t="s">
        <v>1842</v>
      </c>
      <c r="E1" s="70" t="s">
        <v>1948</v>
      </c>
      <c r="J1" s="610" t="s">
        <v>507</v>
      </c>
      <c r="K1" s="611" t="s">
        <v>1829</v>
      </c>
      <c r="L1" s="612" t="s">
        <v>1830</v>
      </c>
      <c r="M1" s="613" t="s">
        <v>1831</v>
      </c>
      <c r="N1" s="614" t="s">
        <v>1832</v>
      </c>
    </row>
    <row r="2" spans="1:22" x14ac:dyDescent="0.25">
      <c r="A2" t="s">
        <v>158</v>
      </c>
      <c r="B2" s="615">
        <v>1</v>
      </c>
      <c r="C2" t="s">
        <v>1829</v>
      </c>
      <c r="D2" t="s">
        <v>1843</v>
      </c>
      <c r="E2" s="615">
        <f ca="1">VLOOKUP($A2,Data!$C:$I,7,FALSE)</f>
        <v>0</v>
      </c>
      <c r="F2" s="709" t="str">
        <f>CONCATENATE($D2,$B2)</f>
        <v>PR.AC-11</v>
      </c>
      <c r="G2" s="709" t="str">
        <f ca="1">_xlfn.IFNA(CONCATENATE(F2,$E2),CONCATENATE(F2,$E2,0))</f>
        <v>PR.AC-110</v>
      </c>
      <c r="H2" s="709"/>
      <c r="J2" s="615">
        <f>COUNTIFS($C:$C,J$1)</f>
        <v>304</v>
      </c>
      <c r="K2" s="615">
        <f>COUNTIFS($C:$C,K$1)</f>
        <v>315</v>
      </c>
      <c r="L2" s="615">
        <f>COUNTIFS($C:$C,L$1)</f>
        <v>131</v>
      </c>
      <c r="M2" s="615">
        <f>COUNTIFS($C:$C,M$1)</f>
        <v>74</v>
      </c>
      <c r="N2" s="615">
        <f>COUNTIFS($C:$C,N$1)</f>
        <v>21</v>
      </c>
    </row>
    <row r="3" spans="1:22" x14ac:dyDescent="0.25">
      <c r="A3" t="s">
        <v>160</v>
      </c>
      <c r="B3" s="615">
        <v>1</v>
      </c>
      <c r="C3" t="s">
        <v>1829</v>
      </c>
      <c r="D3" t="s">
        <v>1843</v>
      </c>
      <c r="E3" s="615">
        <f ca="1">VLOOKUP(A3,Data!C:I,7,FALSE)</f>
        <v>0</v>
      </c>
      <c r="F3" s="709" t="str">
        <f t="shared" ref="F3:F66" si="0">CONCATENATE($D3,$B3)</f>
        <v>PR.AC-11</v>
      </c>
      <c r="G3" s="709" t="str">
        <f t="shared" ref="G3:G66" ca="1" si="1">_xlfn.IFNA(CONCATENATE(F3,$E3),CONCATENATE(F3,$E3,0))</f>
        <v>PR.AC-110</v>
      </c>
      <c r="J3" s="615">
        <f ca="1">COUNTIFS($C:$C,J$1,$E:$E,1)</f>
        <v>0</v>
      </c>
      <c r="K3" s="615">
        <f ca="1">COUNTIFS($C:$C,K$1,$E:$E,1)</f>
        <v>0</v>
      </c>
      <c r="L3" s="615">
        <f ca="1">COUNTIFS($C:$C,L$1,$E:$E,1)</f>
        <v>0</v>
      </c>
      <c r="M3" s="615">
        <f ca="1">COUNTIFS($C:$C,M$1,$E:$E,1)</f>
        <v>0</v>
      </c>
      <c r="N3" s="615">
        <f ca="1">COUNTIFS($C:$C,N$1,$E:$E,1)</f>
        <v>0</v>
      </c>
    </row>
    <row r="4" spans="1:22" x14ac:dyDescent="0.25">
      <c r="A4" t="s">
        <v>161</v>
      </c>
      <c r="B4" s="615">
        <v>1</v>
      </c>
      <c r="C4" t="s">
        <v>1829</v>
      </c>
      <c r="D4" t="s">
        <v>1843</v>
      </c>
      <c r="E4" s="615">
        <f ca="1">VLOOKUP(A4,Data!C:I,7,FALSE)</f>
        <v>0</v>
      </c>
      <c r="F4" s="709" t="str">
        <f t="shared" si="0"/>
        <v>PR.AC-11</v>
      </c>
      <c r="G4" s="709" t="str">
        <f t="shared" ca="1" si="1"/>
        <v>PR.AC-110</v>
      </c>
    </row>
    <row r="5" spans="1:22" x14ac:dyDescent="0.25">
      <c r="A5" t="s">
        <v>162</v>
      </c>
      <c r="B5" s="615">
        <v>2</v>
      </c>
      <c r="C5" t="s">
        <v>1829</v>
      </c>
      <c r="D5" t="s">
        <v>1843</v>
      </c>
      <c r="E5" s="615">
        <f ca="1">VLOOKUP(A5,Data!C:I,7,FALSE)</f>
        <v>0</v>
      </c>
      <c r="F5" s="709" t="str">
        <f t="shared" si="0"/>
        <v>PR.AC-12</v>
      </c>
      <c r="G5" s="709" t="str">
        <f t="shared" ca="1" si="1"/>
        <v>PR.AC-120</v>
      </c>
      <c r="J5" t="s">
        <v>1950</v>
      </c>
      <c r="K5" t="s">
        <v>1951</v>
      </c>
      <c r="L5" t="s">
        <v>1952</v>
      </c>
      <c r="M5" t="s">
        <v>1953</v>
      </c>
      <c r="N5" t="s">
        <v>1954</v>
      </c>
      <c r="P5" s="616" t="s">
        <v>882</v>
      </c>
      <c r="Q5" s="617" t="s">
        <v>883</v>
      </c>
      <c r="R5" s="617" t="s">
        <v>884</v>
      </c>
      <c r="S5" s="618" t="s">
        <v>885</v>
      </c>
    </row>
    <row r="6" spans="1:22" x14ac:dyDescent="0.25">
      <c r="A6" t="s">
        <v>162</v>
      </c>
      <c r="B6" s="615">
        <v>2</v>
      </c>
      <c r="C6" t="s">
        <v>1829</v>
      </c>
      <c r="D6" t="s">
        <v>1844</v>
      </c>
      <c r="E6" s="615">
        <f ca="1">VLOOKUP(A6,Data!C:I,7,FALSE)</f>
        <v>0</v>
      </c>
      <c r="F6" s="709" t="str">
        <f t="shared" si="0"/>
        <v>PR.AC-62</v>
      </c>
      <c r="G6" s="709" t="str">
        <f t="shared" ca="1" si="1"/>
        <v>PR.AC-620</v>
      </c>
      <c r="J6" s="615" t="str">
        <f>IF(VLOOKUP(J$5,Languages!$A:$D,1,TRUE)=J$5,VLOOKUP(J$5,Languages!$A:$D,Summary!$C$7,TRUE),NA())</f>
        <v>Tunnistaminen</v>
      </c>
      <c r="K6" s="615" t="str">
        <f>IF(VLOOKUP(K$5,Languages!$A:$D,1,TRUE)=K$5,VLOOKUP(K$5,Languages!$A:$D,Summary!$C$7,TRUE),NA())</f>
        <v>Suojautuminen</v>
      </c>
      <c r="L6" s="615" t="str">
        <f>IF(VLOOKUP(L$5,Languages!$A:$D,1,TRUE)=L$5,VLOOKUP(L$5,Languages!$A:$D,Summary!$C$7,TRUE),NA())</f>
        <v>Havainnointi</v>
      </c>
      <c r="M6" s="615" t="str">
        <f>IF(VLOOKUP(M$5,Languages!$A:$D,1,TRUE)=M$5,VLOOKUP(M$5,Languages!$A:$D,Summary!$C$7,TRUE),NA())</f>
        <v>Reagointi</v>
      </c>
      <c r="N6" s="615" t="str">
        <f>IF(VLOOKUP(N$5,Languages!$A:$D,1,TRUE)=N$5,VLOOKUP(N$5,Languages!$A:$D,Summary!$C$7,TRUE),NA())</f>
        <v>Palautuminen</v>
      </c>
      <c r="P6" s="619">
        <v>0.3</v>
      </c>
      <c r="Q6" s="620">
        <v>0.3</v>
      </c>
      <c r="R6" s="620">
        <v>0.3</v>
      </c>
      <c r="S6" s="621">
        <v>0.1</v>
      </c>
    </row>
    <row r="7" spans="1:22" x14ac:dyDescent="0.25">
      <c r="A7" t="s">
        <v>163</v>
      </c>
      <c r="B7" s="615">
        <v>2</v>
      </c>
      <c r="C7" t="s">
        <v>1829</v>
      </c>
      <c r="D7" t="s">
        <v>1843</v>
      </c>
      <c r="E7" s="615">
        <f ca="1">VLOOKUP(A7,Data!C:I,7,FALSE)</f>
        <v>0</v>
      </c>
      <c r="F7" s="709" t="str">
        <f t="shared" si="0"/>
        <v>PR.AC-12</v>
      </c>
      <c r="G7" s="709" t="str">
        <f t="shared" ca="1" si="1"/>
        <v>PR.AC-120</v>
      </c>
      <c r="I7" t="s">
        <v>1833</v>
      </c>
      <c r="J7" s="624">
        <f ca="1">J3/J2</f>
        <v>0</v>
      </c>
      <c r="K7" s="624">
        <f ca="1">K3/K2</f>
        <v>0</v>
      </c>
      <c r="L7" s="624">
        <f ca="1">L3/L2</f>
        <v>0</v>
      </c>
      <c r="M7" s="624">
        <f ca="1">M3/M2</f>
        <v>0</v>
      </c>
      <c r="N7" s="624">
        <f ca="1">N3/N2</f>
        <v>0</v>
      </c>
      <c r="P7" s="118">
        <v>0.3</v>
      </c>
      <c r="Q7" s="95">
        <v>0.3</v>
      </c>
      <c r="R7" s="95">
        <v>0.3</v>
      </c>
      <c r="S7" s="106">
        <v>0.1</v>
      </c>
    </row>
    <row r="8" spans="1:22" x14ac:dyDescent="0.25">
      <c r="A8" t="s">
        <v>164</v>
      </c>
      <c r="B8" s="615">
        <v>2</v>
      </c>
      <c r="C8" t="s">
        <v>1829</v>
      </c>
      <c r="D8" t="s">
        <v>1843</v>
      </c>
      <c r="E8" s="615">
        <f ca="1">VLOOKUP(A8,Data!C:I,7,FALSE)</f>
        <v>0</v>
      </c>
      <c r="F8" s="709" t="str">
        <f t="shared" si="0"/>
        <v>PR.AC-12</v>
      </c>
      <c r="G8" s="709" t="str">
        <f t="shared" ca="1" si="1"/>
        <v>PR.AC-120</v>
      </c>
      <c r="J8" s="615"/>
      <c r="K8" s="615"/>
      <c r="L8" s="615"/>
      <c r="M8" s="615"/>
      <c r="N8" s="615"/>
      <c r="P8" s="118">
        <v>0.3</v>
      </c>
      <c r="Q8" s="95">
        <v>0.3</v>
      </c>
      <c r="R8" s="95">
        <v>0.3</v>
      </c>
      <c r="S8" s="106">
        <v>0.1</v>
      </c>
    </row>
    <row r="9" spans="1:22" x14ac:dyDescent="0.25">
      <c r="A9" t="s">
        <v>164</v>
      </c>
      <c r="B9" s="615">
        <v>2</v>
      </c>
      <c r="C9" t="s">
        <v>1829</v>
      </c>
      <c r="D9" t="s">
        <v>1845</v>
      </c>
      <c r="E9" s="615">
        <f ca="1">VLOOKUP(A9,Data!C:I,7,FALSE)</f>
        <v>0</v>
      </c>
      <c r="F9" s="709" t="str">
        <f t="shared" si="0"/>
        <v>PR.AC-72</v>
      </c>
      <c r="G9" s="709" t="str">
        <f t="shared" ca="1" si="1"/>
        <v>PR.AC-720</v>
      </c>
      <c r="I9" t="s">
        <v>880</v>
      </c>
      <c r="J9" s="625">
        <f>Import!K12</f>
        <v>0</v>
      </c>
      <c r="K9" s="625">
        <f>Import!K13</f>
        <v>0</v>
      </c>
      <c r="L9" s="625">
        <f>Import!K14</f>
        <v>0</v>
      </c>
      <c r="M9" s="625">
        <f>Import!K15</f>
        <v>0</v>
      </c>
      <c r="N9" s="625">
        <f>Import!K16</f>
        <v>0</v>
      </c>
      <c r="P9" s="118">
        <v>0.3</v>
      </c>
      <c r="Q9" s="95">
        <v>0.3</v>
      </c>
      <c r="R9" s="95">
        <v>0.3</v>
      </c>
      <c r="S9" s="106">
        <v>0.1</v>
      </c>
    </row>
    <row r="10" spans="1:22" x14ac:dyDescent="0.25">
      <c r="A10" t="s">
        <v>166</v>
      </c>
      <c r="B10" s="615">
        <v>1</v>
      </c>
      <c r="C10" t="s">
        <v>1829</v>
      </c>
      <c r="D10" t="s">
        <v>1846</v>
      </c>
      <c r="E10" s="615">
        <f ca="1">VLOOKUP(A10,Data!C:I,7,FALSE)</f>
        <v>0</v>
      </c>
      <c r="F10" s="709" t="str">
        <f t="shared" si="0"/>
        <v>PR.AC-31</v>
      </c>
      <c r="G10" s="709" t="str">
        <f t="shared" ca="1" si="1"/>
        <v>PR.AC-310</v>
      </c>
      <c r="I10" t="s">
        <v>1839</v>
      </c>
      <c r="J10" s="625">
        <f>Import!N12</f>
        <v>0</v>
      </c>
      <c r="K10" s="625">
        <f>Import!N13</f>
        <v>0</v>
      </c>
      <c r="L10" s="625">
        <f>Import!N14</f>
        <v>0</v>
      </c>
      <c r="M10" s="625">
        <f>Import!N15</f>
        <v>0</v>
      </c>
      <c r="N10" s="625">
        <f>Import!N16</f>
        <v>0</v>
      </c>
      <c r="P10" s="119">
        <v>0.3</v>
      </c>
      <c r="Q10" s="114">
        <v>0.3</v>
      </c>
      <c r="R10" s="114">
        <v>0.3</v>
      </c>
      <c r="S10" s="115">
        <v>0.1</v>
      </c>
    </row>
    <row r="11" spans="1:22" x14ac:dyDescent="0.25">
      <c r="A11" t="s">
        <v>166</v>
      </c>
      <c r="B11" s="615">
        <v>1</v>
      </c>
      <c r="C11" t="s">
        <v>1829</v>
      </c>
      <c r="D11" t="s">
        <v>1847</v>
      </c>
      <c r="E11" s="615">
        <f ca="1">VLOOKUP(A11,Data!C:I,7,FALSE)</f>
        <v>0</v>
      </c>
      <c r="F11" s="709" t="str">
        <f t="shared" si="0"/>
        <v>PR.PT-21</v>
      </c>
      <c r="G11" s="709" t="str">
        <f t="shared" ca="1" si="1"/>
        <v>PR.PT-210</v>
      </c>
    </row>
    <row r="12" spans="1:22" x14ac:dyDescent="0.25">
      <c r="A12" t="s">
        <v>166</v>
      </c>
      <c r="B12" s="615">
        <v>1</v>
      </c>
      <c r="C12" t="s">
        <v>1829</v>
      </c>
      <c r="D12" t="s">
        <v>1848</v>
      </c>
      <c r="E12" s="615">
        <f ca="1">VLOOKUP(A12,Data!C:I,7,FALSE)</f>
        <v>0</v>
      </c>
      <c r="F12" s="709" t="str">
        <f t="shared" si="0"/>
        <v>PR.PT-31</v>
      </c>
      <c r="G12" s="709" t="str">
        <f t="shared" ca="1" si="1"/>
        <v>PR.PT-310</v>
      </c>
    </row>
    <row r="13" spans="1:22" x14ac:dyDescent="0.25">
      <c r="A13" t="s">
        <v>167</v>
      </c>
      <c r="B13" s="615">
        <v>1</v>
      </c>
      <c r="C13" t="s">
        <v>1829</v>
      </c>
      <c r="D13" t="s">
        <v>1846</v>
      </c>
      <c r="E13" s="615">
        <f ca="1">VLOOKUP(A13,Data!C:I,7,FALSE)</f>
        <v>0</v>
      </c>
      <c r="F13" s="709" t="str">
        <f t="shared" si="0"/>
        <v>PR.AC-31</v>
      </c>
      <c r="G13" s="709" t="str">
        <f t="shared" ca="1" si="1"/>
        <v>PR.AC-310</v>
      </c>
    </row>
    <row r="14" spans="1:22" x14ac:dyDescent="0.25">
      <c r="A14" t="s">
        <v>167</v>
      </c>
      <c r="B14" s="615">
        <v>1</v>
      </c>
      <c r="C14" t="s">
        <v>1829</v>
      </c>
      <c r="D14" t="s">
        <v>1849</v>
      </c>
      <c r="E14" s="615">
        <f ca="1">VLOOKUP(A14,Data!C:I,7,FALSE)</f>
        <v>0</v>
      </c>
      <c r="F14" s="709" t="str">
        <f t="shared" si="0"/>
        <v>PR.MA-21</v>
      </c>
      <c r="G14" s="709" t="str">
        <f t="shared" ca="1" si="1"/>
        <v>PR.MA-210</v>
      </c>
    </row>
    <row r="15" spans="1:22" x14ac:dyDescent="0.25">
      <c r="A15" t="s">
        <v>167</v>
      </c>
      <c r="B15" s="615">
        <v>1</v>
      </c>
      <c r="C15" t="s">
        <v>1829</v>
      </c>
      <c r="D15" t="s">
        <v>1847</v>
      </c>
      <c r="E15" s="615">
        <f ca="1">VLOOKUP(A15,Data!C:I,7,FALSE)</f>
        <v>0</v>
      </c>
      <c r="F15" s="709" t="str">
        <f t="shared" si="0"/>
        <v>PR.PT-21</v>
      </c>
      <c r="G15" s="709" t="str">
        <f t="shared" ca="1" si="1"/>
        <v>PR.PT-210</v>
      </c>
      <c r="I15" s="101" t="s">
        <v>679</v>
      </c>
      <c r="J15" s="704" t="s">
        <v>507</v>
      </c>
      <c r="K15" s="704" t="s">
        <v>2201</v>
      </c>
      <c r="L15" s="704" t="s">
        <v>2203</v>
      </c>
      <c r="M15" s="704" t="s">
        <v>2202</v>
      </c>
      <c r="N15" s="705">
        <v>1</v>
      </c>
      <c r="O15" s="704" t="s">
        <v>2203</v>
      </c>
      <c r="P15" s="704" t="s">
        <v>2202</v>
      </c>
      <c r="Q15" s="705">
        <v>2</v>
      </c>
      <c r="R15" s="704" t="s">
        <v>2203</v>
      </c>
      <c r="S15" s="704" t="s">
        <v>2202</v>
      </c>
      <c r="T15" s="705">
        <v>3</v>
      </c>
      <c r="U15" s="704" t="s">
        <v>2203</v>
      </c>
      <c r="V15" s="704" t="s">
        <v>2202</v>
      </c>
    </row>
    <row r="16" spans="1:22" x14ac:dyDescent="0.25">
      <c r="A16" t="s">
        <v>167</v>
      </c>
      <c r="B16" s="615">
        <v>1</v>
      </c>
      <c r="C16" t="s">
        <v>1829</v>
      </c>
      <c r="D16" t="s">
        <v>1848</v>
      </c>
      <c r="E16" s="615">
        <f ca="1">VLOOKUP(A16,Data!C:I,7,FALSE)</f>
        <v>0</v>
      </c>
      <c r="F16" s="709" t="str">
        <f t="shared" si="0"/>
        <v>PR.PT-31</v>
      </c>
      <c r="G16" s="709" t="str">
        <f t="shared" ca="1" si="1"/>
        <v>PR.PT-310</v>
      </c>
      <c r="I16" s="24" t="s">
        <v>2022</v>
      </c>
      <c r="J16" s="24" t="s">
        <v>1876</v>
      </c>
      <c r="K16" s="710">
        <f ca="1">IF(L16=0,0,M16/L16)</f>
        <v>0</v>
      </c>
      <c r="L16" s="711">
        <f>SUM(O16+R16+U16)</f>
        <v>8</v>
      </c>
      <c r="M16" s="711">
        <f ca="1">SUM(P16+S16+V16)</f>
        <v>0</v>
      </c>
      <c r="N16" s="710">
        <f ca="1">IF(O16=0,0,P16/O16)</f>
        <v>0</v>
      </c>
      <c r="O16" s="711">
        <f>COUNTIF($F:$F,CONCATENATE($J16,N$15))</f>
        <v>4</v>
      </c>
      <c r="P16" s="711">
        <f ca="1">COUNTIF($G:$G,CONCATENATE($J16,N$15,1))</f>
        <v>0</v>
      </c>
      <c r="Q16" s="710">
        <f ca="1">IF(R16=0,0,S16/R16)</f>
        <v>0</v>
      </c>
      <c r="R16" s="711">
        <f>COUNTIF($F:$F,CONCATENATE($J16,Q$15))</f>
        <v>2</v>
      </c>
      <c r="S16" s="711">
        <f ca="1">COUNTIF($G:$G,CONCATENATE($J16,Q$15,1))</f>
        <v>0</v>
      </c>
      <c r="T16" s="710">
        <f ca="1">IF(U16=0,0,V16/U16)</f>
        <v>0</v>
      </c>
      <c r="U16" s="711">
        <f>COUNTIF($F:$F,CONCATENATE($J16,T$15))</f>
        <v>2</v>
      </c>
      <c r="V16" s="711">
        <f ca="1">COUNTIF($G:$G,CONCATENATE($J16,T$15,1))</f>
        <v>0</v>
      </c>
    </row>
    <row r="17" spans="1:22" x14ac:dyDescent="0.25">
      <c r="A17" t="s">
        <v>168</v>
      </c>
      <c r="B17" s="615">
        <v>2</v>
      </c>
      <c r="C17" t="s">
        <v>1829</v>
      </c>
      <c r="D17" t="s">
        <v>1846</v>
      </c>
      <c r="E17" s="615">
        <f ca="1">VLOOKUP(A17,Data!C:I,7,FALSE)</f>
        <v>0</v>
      </c>
      <c r="F17" s="709" t="str">
        <f t="shared" si="0"/>
        <v>PR.AC-32</v>
      </c>
      <c r="G17" s="709" t="str">
        <f t="shared" ca="1" si="1"/>
        <v>PR.AC-320</v>
      </c>
      <c r="I17" s="24"/>
      <c r="J17" s="24" t="s">
        <v>1877</v>
      </c>
      <c r="K17" s="710">
        <f t="shared" ref="K17:K80" ca="1" si="2">IF(L17=0,0,M17/L17)</f>
        <v>0</v>
      </c>
      <c r="L17" s="711">
        <f t="shared" ref="L17:L80" si="3">SUM(O17+R17+U17)</f>
        <v>8</v>
      </c>
      <c r="M17" s="711">
        <f t="shared" ref="M17:M80" ca="1" si="4">SUM(P17+S17+V17)</f>
        <v>0</v>
      </c>
      <c r="N17" s="710">
        <f t="shared" ref="N17:N80" ca="1" si="5">IF(O17=0,0,P17/O17)</f>
        <v>0</v>
      </c>
      <c r="O17" s="711">
        <f t="shared" ref="O17:O80" si="6">COUNTIF($F:$F,CONCATENATE($J17,N$15))</f>
        <v>3</v>
      </c>
      <c r="P17" s="711">
        <f t="shared" ref="P17:P80" ca="1" si="7">COUNTIF($G:$G,CONCATENATE($J17,N$15,1))</f>
        <v>0</v>
      </c>
      <c r="Q17" s="710">
        <f t="shared" ref="Q17:Q80" ca="1" si="8">IF(R17=0,0,S17/R17)</f>
        <v>0</v>
      </c>
      <c r="R17" s="711">
        <f t="shared" ref="R17:R80" si="9">COUNTIF($F:$F,CONCATENATE($J17,Q$15))</f>
        <v>3</v>
      </c>
      <c r="S17" s="711">
        <f t="shared" ref="S17:S80" ca="1" si="10">COUNTIF($G:$G,CONCATENATE($J17,Q$15,1))</f>
        <v>0</v>
      </c>
      <c r="T17" s="710">
        <f t="shared" ref="T17:T80" ca="1" si="11">IF(U17=0,0,V17/U17)</f>
        <v>0</v>
      </c>
      <c r="U17" s="711">
        <f t="shared" ref="U17:U80" si="12">COUNTIF($F:$F,CONCATENATE($J17,T$15))</f>
        <v>2</v>
      </c>
      <c r="V17" s="711">
        <f t="shared" ref="V17:V80" ca="1" si="13">COUNTIF($G:$G,CONCATENATE($J17,T$15,1))</f>
        <v>0</v>
      </c>
    </row>
    <row r="18" spans="1:22" x14ac:dyDescent="0.25">
      <c r="A18" t="s">
        <v>168</v>
      </c>
      <c r="B18" s="615">
        <v>2</v>
      </c>
      <c r="C18" t="s">
        <v>1829</v>
      </c>
      <c r="D18" t="s">
        <v>1845</v>
      </c>
      <c r="E18" s="615">
        <f ca="1">VLOOKUP(A18,Data!C:I,7,FALSE)</f>
        <v>0</v>
      </c>
      <c r="F18" s="709" t="str">
        <f t="shared" si="0"/>
        <v>PR.AC-72</v>
      </c>
      <c r="G18" s="709" t="str">
        <f t="shared" ca="1" si="1"/>
        <v>PR.AC-720</v>
      </c>
      <c r="I18" s="24"/>
      <c r="J18" s="24" t="s">
        <v>1882</v>
      </c>
      <c r="K18" s="710">
        <f t="shared" ca="1" si="2"/>
        <v>0</v>
      </c>
      <c r="L18" s="711">
        <f t="shared" si="3"/>
        <v>8</v>
      </c>
      <c r="M18" s="711">
        <f t="shared" ca="1" si="4"/>
        <v>0</v>
      </c>
      <c r="N18" s="710">
        <f t="shared" ca="1" si="5"/>
        <v>0</v>
      </c>
      <c r="O18" s="711">
        <f t="shared" si="6"/>
        <v>4</v>
      </c>
      <c r="P18" s="711">
        <f t="shared" ca="1" si="7"/>
        <v>0</v>
      </c>
      <c r="Q18" s="710">
        <f t="shared" ca="1" si="8"/>
        <v>0</v>
      </c>
      <c r="R18" s="711">
        <f t="shared" si="9"/>
        <v>2</v>
      </c>
      <c r="S18" s="711">
        <f t="shared" ca="1" si="10"/>
        <v>0</v>
      </c>
      <c r="T18" s="710">
        <f t="shared" ca="1" si="11"/>
        <v>0</v>
      </c>
      <c r="U18" s="711">
        <f t="shared" si="12"/>
        <v>2</v>
      </c>
      <c r="V18" s="711">
        <f t="shared" ca="1" si="13"/>
        <v>0</v>
      </c>
    </row>
    <row r="19" spans="1:22" x14ac:dyDescent="0.25">
      <c r="A19" t="s">
        <v>168</v>
      </c>
      <c r="B19" s="615">
        <v>2</v>
      </c>
      <c r="C19" t="s">
        <v>1829</v>
      </c>
      <c r="D19" t="s">
        <v>1849</v>
      </c>
      <c r="E19" s="615">
        <f ca="1">VLOOKUP(A19,Data!C:I,7,FALSE)</f>
        <v>0</v>
      </c>
      <c r="F19" s="709" t="str">
        <f t="shared" si="0"/>
        <v>PR.MA-22</v>
      </c>
      <c r="G19" s="709" t="str">
        <f t="shared" ca="1" si="1"/>
        <v>PR.MA-220</v>
      </c>
      <c r="I19" s="24"/>
      <c r="J19" s="24" t="s">
        <v>1888</v>
      </c>
      <c r="K19" s="710">
        <f t="shared" ca="1" si="2"/>
        <v>0</v>
      </c>
      <c r="L19" s="711">
        <f t="shared" si="3"/>
        <v>5</v>
      </c>
      <c r="M19" s="711">
        <f t="shared" ca="1" si="4"/>
        <v>0</v>
      </c>
      <c r="N19" s="710">
        <f t="shared" ca="1" si="5"/>
        <v>0</v>
      </c>
      <c r="O19" s="711">
        <f t="shared" si="6"/>
        <v>4</v>
      </c>
      <c r="P19" s="711">
        <f t="shared" ca="1" si="7"/>
        <v>0</v>
      </c>
      <c r="Q19" s="710">
        <f t="shared" ca="1" si="8"/>
        <v>0</v>
      </c>
      <c r="R19" s="711">
        <f t="shared" si="9"/>
        <v>1</v>
      </c>
      <c r="S19" s="711">
        <f t="shared" ca="1" si="10"/>
        <v>0</v>
      </c>
      <c r="T19" s="710">
        <f t="shared" si="11"/>
        <v>0</v>
      </c>
      <c r="U19" s="711">
        <f t="shared" si="12"/>
        <v>0</v>
      </c>
      <c r="V19" s="711">
        <f t="shared" ca="1" si="13"/>
        <v>0</v>
      </c>
    </row>
    <row r="20" spans="1:22" x14ac:dyDescent="0.25">
      <c r="A20" t="s">
        <v>168</v>
      </c>
      <c r="B20" s="615">
        <v>2</v>
      </c>
      <c r="C20" t="s">
        <v>1829</v>
      </c>
      <c r="D20" t="s">
        <v>1847</v>
      </c>
      <c r="E20" s="615">
        <f ca="1">VLOOKUP(A20,Data!C:I,7,FALSE)</f>
        <v>0</v>
      </c>
      <c r="F20" s="709" t="str">
        <f t="shared" si="0"/>
        <v>PR.PT-22</v>
      </c>
      <c r="G20" s="709" t="str">
        <f t="shared" ca="1" si="1"/>
        <v>PR.PT-220</v>
      </c>
      <c r="I20" s="24"/>
      <c r="J20" s="24" t="s">
        <v>1878</v>
      </c>
      <c r="K20" s="710">
        <f t="shared" ca="1" si="2"/>
        <v>0</v>
      </c>
      <c r="L20" s="711">
        <f t="shared" si="3"/>
        <v>12</v>
      </c>
      <c r="M20" s="711">
        <f t="shared" ca="1" si="4"/>
        <v>0</v>
      </c>
      <c r="N20" s="710">
        <f t="shared" ca="1" si="5"/>
        <v>0</v>
      </c>
      <c r="O20" s="711">
        <f t="shared" si="6"/>
        <v>2</v>
      </c>
      <c r="P20" s="711">
        <f t="shared" ca="1" si="7"/>
        <v>0</v>
      </c>
      <c r="Q20" s="710">
        <f t="shared" ca="1" si="8"/>
        <v>0</v>
      </c>
      <c r="R20" s="711">
        <f t="shared" si="9"/>
        <v>8</v>
      </c>
      <c r="S20" s="711">
        <f t="shared" ca="1" si="10"/>
        <v>0</v>
      </c>
      <c r="T20" s="710">
        <f t="shared" ca="1" si="11"/>
        <v>0</v>
      </c>
      <c r="U20" s="711">
        <f t="shared" si="12"/>
        <v>2</v>
      </c>
      <c r="V20" s="711">
        <f t="shared" ca="1" si="13"/>
        <v>0</v>
      </c>
    </row>
    <row r="21" spans="1:22" x14ac:dyDescent="0.25">
      <c r="A21" t="s">
        <v>168</v>
      </c>
      <c r="B21" s="615">
        <v>2</v>
      </c>
      <c r="C21" t="s">
        <v>1829</v>
      </c>
      <c r="D21" t="s">
        <v>1848</v>
      </c>
      <c r="E21" s="615">
        <f ca="1">VLOOKUP(A21,Data!C:I,7,FALSE)</f>
        <v>0</v>
      </c>
      <c r="F21" s="709" t="str">
        <f t="shared" si="0"/>
        <v>PR.PT-32</v>
      </c>
      <c r="G21" s="709" t="str">
        <f t="shared" ca="1" si="1"/>
        <v>PR.PT-320</v>
      </c>
      <c r="I21" s="24"/>
      <c r="J21" s="24" t="s">
        <v>1857</v>
      </c>
      <c r="K21" s="710">
        <f t="shared" ca="1" si="2"/>
        <v>0</v>
      </c>
      <c r="L21" s="711">
        <f t="shared" si="3"/>
        <v>15</v>
      </c>
      <c r="M21" s="711">
        <f t="shared" ca="1" si="4"/>
        <v>0</v>
      </c>
      <c r="N21" s="710">
        <f t="shared" ca="1" si="5"/>
        <v>0</v>
      </c>
      <c r="O21" s="711">
        <f t="shared" si="6"/>
        <v>2</v>
      </c>
      <c r="P21" s="711">
        <f t="shared" ca="1" si="7"/>
        <v>0</v>
      </c>
      <c r="Q21" s="710">
        <f t="shared" ca="1" si="8"/>
        <v>0</v>
      </c>
      <c r="R21" s="711">
        <f t="shared" si="9"/>
        <v>3</v>
      </c>
      <c r="S21" s="711">
        <f t="shared" ca="1" si="10"/>
        <v>0</v>
      </c>
      <c r="T21" s="710">
        <f t="shared" ca="1" si="11"/>
        <v>0</v>
      </c>
      <c r="U21" s="711">
        <f t="shared" si="12"/>
        <v>10</v>
      </c>
      <c r="V21" s="711">
        <f t="shared" ca="1" si="13"/>
        <v>0</v>
      </c>
    </row>
    <row r="22" spans="1:22" x14ac:dyDescent="0.25">
      <c r="A22" t="s">
        <v>169</v>
      </c>
      <c r="B22" s="615">
        <v>2</v>
      </c>
      <c r="C22" t="s">
        <v>1829</v>
      </c>
      <c r="D22" t="s">
        <v>1846</v>
      </c>
      <c r="E22" s="615">
        <f ca="1">VLOOKUP(A22,Data!C:I,7,FALSE)</f>
        <v>0</v>
      </c>
      <c r="F22" s="709" t="str">
        <f t="shared" si="0"/>
        <v>PR.AC-32</v>
      </c>
      <c r="G22" s="709" t="str">
        <f t="shared" ca="1" si="1"/>
        <v>PR.AC-320</v>
      </c>
      <c r="I22" s="24" t="s">
        <v>2032</v>
      </c>
      <c r="J22" s="24" t="s">
        <v>1889</v>
      </c>
      <c r="K22" s="710">
        <f t="shared" ca="1" si="2"/>
        <v>0</v>
      </c>
      <c r="L22" s="711">
        <f t="shared" si="3"/>
        <v>4</v>
      </c>
      <c r="M22" s="711">
        <f t="shared" ca="1" si="4"/>
        <v>0</v>
      </c>
      <c r="N22" s="710">
        <f t="shared" ca="1" si="5"/>
        <v>0</v>
      </c>
      <c r="O22" s="711">
        <f t="shared" si="6"/>
        <v>2</v>
      </c>
      <c r="P22" s="711">
        <f t="shared" ca="1" si="7"/>
        <v>0</v>
      </c>
      <c r="Q22" s="710">
        <f t="shared" ca="1" si="8"/>
        <v>0</v>
      </c>
      <c r="R22" s="711">
        <f t="shared" si="9"/>
        <v>2</v>
      </c>
      <c r="S22" s="711">
        <f t="shared" ca="1" si="10"/>
        <v>0</v>
      </c>
      <c r="T22" s="710">
        <f t="shared" si="11"/>
        <v>0</v>
      </c>
      <c r="U22" s="711">
        <f t="shared" si="12"/>
        <v>0</v>
      </c>
      <c r="V22" s="711">
        <f t="shared" ca="1" si="13"/>
        <v>0</v>
      </c>
    </row>
    <row r="23" spans="1:22" x14ac:dyDescent="0.25">
      <c r="A23" t="s">
        <v>169</v>
      </c>
      <c r="B23" s="615">
        <v>2</v>
      </c>
      <c r="C23" t="s">
        <v>1829</v>
      </c>
      <c r="D23" t="s">
        <v>1850</v>
      </c>
      <c r="E23" s="615">
        <f ca="1">VLOOKUP(A23,Data!C:I,7,FALSE)</f>
        <v>0</v>
      </c>
      <c r="F23" s="709" t="str">
        <f t="shared" si="0"/>
        <v>PR.AC-42</v>
      </c>
      <c r="G23" s="709" t="str">
        <f t="shared" ca="1" si="1"/>
        <v>PR.AC-420</v>
      </c>
      <c r="I23" s="24"/>
      <c r="J23" s="24" t="s">
        <v>1887</v>
      </c>
      <c r="K23" s="710">
        <f t="shared" ca="1" si="2"/>
        <v>0</v>
      </c>
      <c r="L23" s="711">
        <f t="shared" si="3"/>
        <v>4</v>
      </c>
      <c r="M23" s="711">
        <f t="shared" ca="1" si="4"/>
        <v>0</v>
      </c>
      <c r="N23" s="710">
        <f t="shared" ca="1" si="5"/>
        <v>0</v>
      </c>
      <c r="O23" s="711">
        <f t="shared" si="6"/>
        <v>1</v>
      </c>
      <c r="P23" s="711">
        <f t="shared" ca="1" si="7"/>
        <v>0</v>
      </c>
      <c r="Q23" s="710">
        <f t="shared" ca="1" si="8"/>
        <v>0</v>
      </c>
      <c r="R23" s="711">
        <f t="shared" si="9"/>
        <v>1</v>
      </c>
      <c r="S23" s="711">
        <f t="shared" ca="1" si="10"/>
        <v>0</v>
      </c>
      <c r="T23" s="710">
        <f t="shared" ca="1" si="11"/>
        <v>0</v>
      </c>
      <c r="U23" s="711">
        <f t="shared" si="12"/>
        <v>2</v>
      </c>
      <c r="V23" s="711">
        <f t="shared" ca="1" si="13"/>
        <v>0</v>
      </c>
    </row>
    <row r="24" spans="1:22" x14ac:dyDescent="0.25">
      <c r="A24" t="s">
        <v>169</v>
      </c>
      <c r="B24" s="615">
        <v>2</v>
      </c>
      <c r="C24" t="s">
        <v>1829</v>
      </c>
      <c r="D24" t="s">
        <v>1849</v>
      </c>
      <c r="E24" s="615">
        <f ca="1">VLOOKUP(A24,Data!C:I,7,FALSE)</f>
        <v>0</v>
      </c>
      <c r="F24" s="709" t="str">
        <f t="shared" si="0"/>
        <v>PR.MA-22</v>
      </c>
      <c r="G24" s="709" t="str">
        <f t="shared" ca="1" si="1"/>
        <v>PR.MA-220</v>
      </c>
      <c r="I24" s="24"/>
      <c r="J24" s="24" t="s">
        <v>1892</v>
      </c>
      <c r="K24" s="710">
        <f t="shared" ca="1" si="2"/>
        <v>0</v>
      </c>
      <c r="L24" s="711">
        <f t="shared" si="3"/>
        <v>4</v>
      </c>
      <c r="M24" s="711">
        <f t="shared" ca="1" si="4"/>
        <v>0</v>
      </c>
      <c r="N24" s="710">
        <f t="shared" si="5"/>
        <v>0</v>
      </c>
      <c r="O24" s="711">
        <f t="shared" si="6"/>
        <v>0</v>
      </c>
      <c r="P24" s="711">
        <f t="shared" ca="1" si="7"/>
        <v>0</v>
      </c>
      <c r="Q24" s="710">
        <f t="shared" ca="1" si="8"/>
        <v>0</v>
      </c>
      <c r="R24" s="711">
        <f t="shared" si="9"/>
        <v>2</v>
      </c>
      <c r="S24" s="711">
        <f t="shared" ca="1" si="10"/>
        <v>0</v>
      </c>
      <c r="T24" s="710">
        <f t="shared" ca="1" si="11"/>
        <v>0</v>
      </c>
      <c r="U24" s="711">
        <f t="shared" si="12"/>
        <v>2</v>
      </c>
      <c r="V24" s="711">
        <f t="shared" ca="1" si="13"/>
        <v>0</v>
      </c>
    </row>
    <row r="25" spans="1:22" x14ac:dyDescent="0.25">
      <c r="A25" t="s">
        <v>169</v>
      </c>
      <c r="B25" s="615">
        <v>2</v>
      </c>
      <c r="C25" t="s">
        <v>1829</v>
      </c>
      <c r="D25" t="s">
        <v>1848</v>
      </c>
      <c r="E25" s="615">
        <f ca="1">VLOOKUP(A25,Data!C:I,7,FALSE)</f>
        <v>0</v>
      </c>
      <c r="F25" s="709" t="str">
        <f t="shared" si="0"/>
        <v>PR.PT-32</v>
      </c>
      <c r="G25" s="709" t="str">
        <f t="shared" ca="1" si="1"/>
        <v>PR.PT-320</v>
      </c>
      <c r="I25" s="24"/>
      <c r="J25" s="24" t="s">
        <v>1879</v>
      </c>
      <c r="K25" s="710">
        <f t="shared" ca="1" si="2"/>
        <v>0</v>
      </c>
      <c r="L25" s="711">
        <f t="shared" si="3"/>
        <v>31</v>
      </c>
      <c r="M25" s="711">
        <f t="shared" ca="1" si="4"/>
        <v>0</v>
      </c>
      <c r="N25" s="710">
        <f t="shared" ca="1" si="5"/>
        <v>0</v>
      </c>
      <c r="O25" s="711">
        <f t="shared" si="6"/>
        <v>10</v>
      </c>
      <c r="P25" s="711">
        <f t="shared" ca="1" si="7"/>
        <v>0</v>
      </c>
      <c r="Q25" s="710">
        <f t="shared" ca="1" si="8"/>
        <v>0</v>
      </c>
      <c r="R25" s="711">
        <f t="shared" si="9"/>
        <v>13</v>
      </c>
      <c r="S25" s="711">
        <f t="shared" ca="1" si="10"/>
        <v>0</v>
      </c>
      <c r="T25" s="710">
        <f t="shared" ca="1" si="11"/>
        <v>0</v>
      </c>
      <c r="U25" s="711">
        <f t="shared" si="12"/>
        <v>8</v>
      </c>
      <c r="V25" s="711">
        <f t="shared" ca="1" si="13"/>
        <v>0</v>
      </c>
    </row>
    <row r="26" spans="1:22" x14ac:dyDescent="0.25">
      <c r="A26" t="s">
        <v>170</v>
      </c>
      <c r="B26" s="615">
        <v>2</v>
      </c>
      <c r="C26" t="s">
        <v>1829</v>
      </c>
      <c r="D26" t="s">
        <v>1846</v>
      </c>
      <c r="E26" s="615">
        <f ca="1">VLOOKUP(A26,Data!C:I,7,FALSE)</f>
        <v>0</v>
      </c>
      <c r="F26" s="709" t="str">
        <f t="shared" si="0"/>
        <v>PR.AC-32</v>
      </c>
      <c r="G26" s="709" t="str">
        <f t="shared" ca="1" si="1"/>
        <v>PR.AC-320</v>
      </c>
      <c r="I26" s="24"/>
      <c r="J26" s="24" t="s">
        <v>1896</v>
      </c>
      <c r="K26" s="710">
        <f t="shared" ca="1" si="2"/>
        <v>0</v>
      </c>
      <c r="L26" s="711">
        <f t="shared" si="3"/>
        <v>15</v>
      </c>
      <c r="M26" s="711">
        <f t="shared" ca="1" si="4"/>
        <v>0</v>
      </c>
      <c r="N26" s="710">
        <f t="shared" ca="1" si="5"/>
        <v>0</v>
      </c>
      <c r="O26" s="711">
        <f t="shared" si="6"/>
        <v>6</v>
      </c>
      <c r="P26" s="711">
        <f t="shared" ca="1" si="7"/>
        <v>0</v>
      </c>
      <c r="Q26" s="710">
        <f t="shared" ca="1" si="8"/>
        <v>0</v>
      </c>
      <c r="R26" s="711">
        <f t="shared" si="9"/>
        <v>6</v>
      </c>
      <c r="S26" s="711">
        <f t="shared" ca="1" si="10"/>
        <v>0</v>
      </c>
      <c r="T26" s="710">
        <f t="shared" ca="1" si="11"/>
        <v>0</v>
      </c>
      <c r="U26" s="711">
        <f t="shared" si="12"/>
        <v>3</v>
      </c>
      <c r="V26" s="711">
        <f t="shared" ca="1" si="13"/>
        <v>0</v>
      </c>
    </row>
    <row r="27" spans="1:22" x14ac:dyDescent="0.25">
      <c r="A27" t="s">
        <v>170</v>
      </c>
      <c r="B27" s="615">
        <v>2</v>
      </c>
      <c r="C27" t="s">
        <v>1829</v>
      </c>
      <c r="D27" t="s">
        <v>1850</v>
      </c>
      <c r="E27" s="615">
        <f ca="1">VLOOKUP(A27,Data!C:I,7,FALSE)</f>
        <v>0</v>
      </c>
      <c r="F27" s="709" t="str">
        <f t="shared" si="0"/>
        <v>PR.AC-42</v>
      </c>
      <c r="G27" s="709" t="str">
        <f t="shared" ca="1" si="1"/>
        <v>PR.AC-420</v>
      </c>
      <c r="I27" s="24" t="s">
        <v>2040</v>
      </c>
      <c r="J27" s="24" t="s">
        <v>1890</v>
      </c>
      <c r="K27" s="710">
        <f t="shared" ca="1" si="2"/>
        <v>0</v>
      </c>
      <c r="L27" s="711">
        <f t="shared" si="3"/>
        <v>5</v>
      </c>
      <c r="M27" s="711">
        <f t="shared" ca="1" si="4"/>
        <v>0</v>
      </c>
      <c r="N27" s="710">
        <f t="shared" ca="1" si="5"/>
        <v>0</v>
      </c>
      <c r="O27" s="711">
        <f t="shared" si="6"/>
        <v>2</v>
      </c>
      <c r="P27" s="711">
        <f t="shared" ca="1" si="7"/>
        <v>0</v>
      </c>
      <c r="Q27" s="710">
        <f t="shared" ca="1" si="8"/>
        <v>0</v>
      </c>
      <c r="R27" s="711">
        <f t="shared" si="9"/>
        <v>2</v>
      </c>
      <c r="S27" s="711">
        <f t="shared" ca="1" si="10"/>
        <v>0</v>
      </c>
      <c r="T27" s="710">
        <f t="shared" ca="1" si="11"/>
        <v>0</v>
      </c>
      <c r="U27" s="711">
        <f t="shared" si="12"/>
        <v>1</v>
      </c>
      <c r="V27" s="711">
        <f t="shared" ca="1" si="13"/>
        <v>0</v>
      </c>
    </row>
    <row r="28" spans="1:22" x14ac:dyDescent="0.25">
      <c r="A28" t="s">
        <v>170</v>
      </c>
      <c r="B28" s="615">
        <v>2</v>
      </c>
      <c r="C28" t="s">
        <v>1829</v>
      </c>
      <c r="D28" t="s">
        <v>1849</v>
      </c>
      <c r="E28" s="615">
        <f ca="1">VLOOKUP(A28,Data!C:I,7,FALSE)</f>
        <v>0</v>
      </c>
      <c r="F28" s="709" t="str">
        <f t="shared" si="0"/>
        <v>PR.MA-22</v>
      </c>
      <c r="G28" s="709" t="str">
        <f t="shared" ca="1" si="1"/>
        <v>PR.MA-220</v>
      </c>
      <c r="I28" s="24"/>
      <c r="J28" s="24" t="s">
        <v>1858</v>
      </c>
      <c r="K28" s="710">
        <f t="shared" ca="1" si="2"/>
        <v>0</v>
      </c>
      <c r="L28" s="711">
        <f t="shared" si="3"/>
        <v>15</v>
      </c>
      <c r="M28" s="711">
        <f t="shared" ca="1" si="4"/>
        <v>0</v>
      </c>
      <c r="N28" s="710">
        <f t="shared" ca="1" si="5"/>
        <v>0</v>
      </c>
      <c r="O28" s="711">
        <f t="shared" si="6"/>
        <v>2</v>
      </c>
      <c r="P28" s="711">
        <f t="shared" ca="1" si="7"/>
        <v>0</v>
      </c>
      <c r="Q28" s="710">
        <f t="shared" ca="1" si="8"/>
        <v>0</v>
      </c>
      <c r="R28" s="711">
        <f t="shared" si="9"/>
        <v>1</v>
      </c>
      <c r="S28" s="711">
        <f t="shared" ca="1" si="10"/>
        <v>0</v>
      </c>
      <c r="T28" s="710">
        <f t="shared" ca="1" si="11"/>
        <v>0</v>
      </c>
      <c r="U28" s="711">
        <f t="shared" si="12"/>
        <v>12</v>
      </c>
      <c r="V28" s="711">
        <f t="shared" ca="1" si="13"/>
        <v>0</v>
      </c>
    </row>
    <row r="29" spans="1:22" x14ac:dyDescent="0.25">
      <c r="A29" t="s">
        <v>170</v>
      </c>
      <c r="B29" s="615">
        <v>2</v>
      </c>
      <c r="C29" t="s">
        <v>1829</v>
      </c>
      <c r="D29" t="s">
        <v>1848</v>
      </c>
      <c r="E29" s="615">
        <f ca="1">VLOOKUP(A29,Data!C:I,7,FALSE)</f>
        <v>0</v>
      </c>
      <c r="F29" s="709" t="str">
        <f t="shared" si="0"/>
        <v>PR.PT-32</v>
      </c>
      <c r="G29" s="709" t="str">
        <f t="shared" ca="1" si="1"/>
        <v>PR.PT-320</v>
      </c>
      <c r="I29" s="24"/>
      <c r="J29" s="24" t="s">
        <v>1904</v>
      </c>
      <c r="K29" s="710">
        <f t="shared" ca="1" si="2"/>
        <v>0</v>
      </c>
      <c r="L29" s="711">
        <f t="shared" si="3"/>
        <v>3</v>
      </c>
      <c r="M29" s="711">
        <f t="shared" ca="1" si="4"/>
        <v>0</v>
      </c>
      <c r="N29" s="710">
        <f t="shared" si="5"/>
        <v>0</v>
      </c>
      <c r="O29" s="711">
        <f t="shared" si="6"/>
        <v>0</v>
      </c>
      <c r="P29" s="711">
        <f t="shared" ca="1" si="7"/>
        <v>0</v>
      </c>
      <c r="Q29" s="710">
        <f t="shared" ca="1" si="8"/>
        <v>0</v>
      </c>
      <c r="R29" s="711">
        <f t="shared" si="9"/>
        <v>1</v>
      </c>
      <c r="S29" s="711">
        <f t="shared" ca="1" si="10"/>
        <v>0</v>
      </c>
      <c r="T29" s="710">
        <f t="shared" ca="1" si="11"/>
        <v>0</v>
      </c>
      <c r="U29" s="711">
        <f t="shared" si="12"/>
        <v>2</v>
      </c>
      <c r="V29" s="711">
        <f t="shared" ca="1" si="13"/>
        <v>0</v>
      </c>
    </row>
    <row r="30" spans="1:22" x14ac:dyDescent="0.25">
      <c r="A30" t="s">
        <v>171</v>
      </c>
      <c r="B30" s="615">
        <v>2</v>
      </c>
      <c r="C30" t="s">
        <v>1829</v>
      </c>
      <c r="D30" t="s">
        <v>1846</v>
      </c>
      <c r="E30" s="615">
        <f ca="1">VLOOKUP(A30,Data!C:I,7,FALSE)</f>
        <v>0</v>
      </c>
      <c r="F30" s="709" t="str">
        <f t="shared" si="0"/>
        <v>PR.AC-32</v>
      </c>
      <c r="G30" s="709" t="str">
        <f t="shared" ca="1" si="1"/>
        <v>PR.AC-320</v>
      </c>
      <c r="I30" s="24"/>
      <c r="J30" s="24" t="s">
        <v>1894</v>
      </c>
      <c r="K30" s="710">
        <f t="shared" ca="1" si="2"/>
        <v>0</v>
      </c>
      <c r="L30" s="711">
        <f t="shared" si="3"/>
        <v>36</v>
      </c>
      <c r="M30" s="711">
        <f t="shared" ca="1" si="4"/>
        <v>0</v>
      </c>
      <c r="N30" s="710">
        <f t="shared" ca="1" si="5"/>
        <v>0</v>
      </c>
      <c r="O30" s="711">
        <f t="shared" si="6"/>
        <v>4</v>
      </c>
      <c r="P30" s="711">
        <f t="shared" ca="1" si="7"/>
        <v>0</v>
      </c>
      <c r="Q30" s="710">
        <f t="shared" ca="1" si="8"/>
        <v>0</v>
      </c>
      <c r="R30" s="711">
        <f t="shared" si="9"/>
        <v>18</v>
      </c>
      <c r="S30" s="711">
        <f t="shared" ca="1" si="10"/>
        <v>0</v>
      </c>
      <c r="T30" s="710">
        <f t="shared" ca="1" si="11"/>
        <v>0</v>
      </c>
      <c r="U30" s="711">
        <f t="shared" si="12"/>
        <v>14</v>
      </c>
      <c r="V30" s="711">
        <f t="shared" ca="1" si="13"/>
        <v>0</v>
      </c>
    </row>
    <row r="31" spans="1:22" x14ac:dyDescent="0.25">
      <c r="A31" t="s">
        <v>171</v>
      </c>
      <c r="B31" s="615">
        <v>2</v>
      </c>
      <c r="C31" t="s">
        <v>1829</v>
      </c>
      <c r="D31" t="s">
        <v>1849</v>
      </c>
      <c r="E31" s="615">
        <f ca="1">VLOOKUP(A31,Data!C:I,7,FALSE)</f>
        <v>0</v>
      </c>
      <c r="F31" s="709" t="str">
        <f t="shared" si="0"/>
        <v>PR.MA-22</v>
      </c>
      <c r="G31" s="709" t="str">
        <f t="shared" ca="1" si="1"/>
        <v>PR.MA-220</v>
      </c>
      <c r="I31" s="24" t="s">
        <v>2047</v>
      </c>
      <c r="J31" s="24" t="s">
        <v>1937</v>
      </c>
      <c r="K31" s="710">
        <f t="shared" ca="1" si="2"/>
        <v>0</v>
      </c>
      <c r="L31" s="711">
        <f t="shared" si="3"/>
        <v>8</v>
      </c>
      <c r="M31" s="711">
        <f t="shared" ca="1" si="4"/>
        <v>0</v>
      </c>
      <c r="N31" s="710">
        <f t="shared" ca="1" si="5"/>
        <v>0</v>
      </c>
      <c r="O31" s="711">
        <f t="shared" si="6"/>
        <v>3</v>
      </c>
      <c r="P31" s="711">
        <f t="shared" ca="1" si="7"/>
        <v>0</v>
      </c>
      <c r="Q31" s="710">
        <f t="shared" ca="1" si="8"/>
        <v>0</v>
      </c>
      <c r="R31" s="711">
        <f t="shared" si="9"/>
        <v>3</v>
      </c>
      <c r="S31" s="711">
        <f t="shared" ca="1" si="10"/>
        <v>0</v>
      </c>
      <c r="T31" s="710">
        <f t="shared" ca="1" si="11"/>
        <v>0</v>
      </c>
      <c r="U31" s="711">
        <f t="shared" si="12"/>
        <v>2</v>
      </c>
      <c r="V31" s="711">
        <f t="shared" ca="1" si="13"/>
        <v>0</v>
      </c>
    </row>
    <row r="32" spans="1:22" x14ac:dyDescent="0.25">
      <c r="A32" t="s">
        <v>171</v>
      </c>
      <c r="B32" s="615">
        <v>2</v>
      </c>
      <c r="C32" t="s">
        <v>1829</v>
      </c>
      <c r="D32" t="s">
        <v>1848</v>
      </c>
      <c r="E32" s="615">
        <f ca="1">VLOOKUP(A32,Data!C:I,7,FALSE)</f>
        <v>0</v>
      </c>
      <c r="F32" s="709" t="str">
        <f t="shared" si="0"/>
        <v>PR.PT-32</v>
      </c>
      <c r="G32" s="709" t="str">
        <f t="shared" ca="1" si="1"/>
        <v>PR.PT-320</v>
      </c>
      <c r="I32" s="24"/>
      <c r="J32" s="24" t="s">
        <v>1938</v>
      </c>
      <c r="K32" s="710">
        <f t="shared" ca="1" si="2"/>
        <v>0</v>
      </c>
      <c r="L32" s="711">
        <f t="shared" si="3"/>
        <v>7</v>
      </c>
      <c r="M32" s="711">
        <f t="shared" ca="1" si="4"/>
        <v>0</v>
      </c>
      <c r="N32" s="710">
        <f t="shared" ca="1" si="5"/>
        <v>0</v>
      </c>
      <c r="O32" s="711">
        <f t="shared" si="6"/>
        <v>4</v>
      </c>
      <c r="P32" s="711">
        <f t="shared" ca="1" si="7"/>
        <v>0</v>
      </c>
      <c r="Q32" s="710">
        <f t="shared" ca="1" si="8"/>
        <v>0</v>
      </c>
      <c r="R32" s="711">
        <f t="shared" si="9"/>
        <v>2</v>
      </c>
      <c r="S32" s="711">
        <f t="shared" ca="1" si="10"/>
        <v>0</v>
      </c>
      <c r="T32" s="710">
        <f t="shared" ca="1" si="11"/>
        <v>0</v>
      </c>
      <c r="U32" s="711">
        <f t="shared" si="12"/>
        <v>1</v>
      </c>
      <c r="V32" s="711">
        <f t="shared" ca="1" si="13"/>
        <v>0</v>
      </c>
    </row>
    <row r="33" spans="1:22" x14ac:dyDescent="0.25">
      <c r="A33" t="s">
        <v>172</v>
      </c>
      <c r="B33" s="615">
        <v>2</v>
      </c>
      <c r="C33" t="s">
        <v>1830</v>
      </c>
      <c r="D33" t="s">
        <v>1851</v>
      </c>
      <c r="E33" s="615">
        <f ca="1">VLOOKUP(A33,Data!C:I,7,FALSE)</f>
        <v>0</v>
      </c>
      <c r="F33" s="709" t="str">
        <f t="shared" si="0"/>
        <v>DE.CM-32</v>
      </c>
      <c r="G33" s="709" t="str">
        <f t="shared" ca="1" si="1"/>
        <v>DE.CM-320</v>
      </c>
      <c r="I33" s="24"/>
      <c r="J33" s="24" t="s">
        <v>1940</v>
      </c>
      <c r="K33" s="710">
        <f t="shared" ca="1" si="2"/>
        <v>0</v>
      </c>
      <c r="L33" s="711">
        <f t="shared" si="3"/>
        <v>9</v>
      </c>
      <c r="M33" s="711">
        <f t="shared" ca="1" si="4"/>
        <v>0</v>
      </c>
      <c r="N33" s="710">
        <f t="shared" ca="1" si="5"/>
        <v>0</v>
      </c>
      <c r="O33" s="711">
        <f t="shared" si="6"/>
        <v>2</v>
      </c>
      <c r="P33" s="711">
        <f t="shared" ca="1" si="7"/>
        <v>0</v>
      </c>
      <c r="Q33" s="710">
        <f t="shared" ca="1" si="8"/>
        <v>0</v>
      </c>
      <c r="R33" s="711">
        <f t="shared" si="9"/>
        <v>4</v>
      </c>
      <c r="S33" s="711">
        <f t="shared" ca="1" si="10"/>
        <v>0</v>
      </c>
      <c r="T33" s="710">
        <f t="shared" ca="1" si="11"/>
        <v>0</v>
      </c>
      <c r="U33" s="711">
        <f t="shared" si="12"/>
        <v>3</v>
      </c>
      <c r="V33" s="711">
        <f t="shared" ca="1" si="13"/>
        <v>0</v>
      </c>
    </row>
    <row r="34" spans="1:22" x14ac:dyDescent="0.25">
      <c r="A34" t="s">
        <v>172</v>
      </c>
      <c r="B34" s="615">
        <v>2</v>
      </c>
      <c r="C34" t="s">
        <v>1830</v>
      </c>
      <c r="D34" t="s">
        <v>1852</v>
      </c>
      <c r="E34" s="615">
        <f ca="1">VLOOKUP(A34,Data!C:I,7,FALSE)</f>
        <v>0</v>
      </c>
      <c r="F34" s="709" t="str">
        <f t="shared" si="0"/>
        <v>DE.CM-62</v>
      </c>
      <c r="G34" s="709" t="str">
        <f t="shared" ca="1" si="1"/>
        <v>DE.CM-620</v>
      </c>
      <c r="I34" s="24"/>
      <c r="J34" s="24" t="s">
        <v>1941</v>
      </c>
      <c r="K34" s="710">
        <f t="shared" ca="1" si="2"/>
        <v>0</v>
      </c>
      <c r="L34" s="711">
        <f t="shared" si="3"/>
        <v>7</v>
      </c>
      <c r="M34" s="711">
        <f t="shared" ca="1" si="4"/>
        <v>0</v>
      </c>
      <c r="N34" s="710">
        <f t="shared" si="5"/>
        <v>0</v>
      </c>
      <c r="O34" s="711">
        <f t="shared" si="6"/>
        <v>0</v>
      </c>
      <c r="P34" s="711">
        <f t="shared" ca="1" si="7"/>
        <v>0</v>
      </c>
      <c r="Q34" s="710">
        <f t="shared" ca="1" si="8"/>
        <v>0</v>
      </c>
      <c r="R34" s="711">
        <f t="shared" si="9"/>
        <v>4</v>
      </c>
      <c r="S34" s="711">
        <f t="shared" ca="1" si="10"/>
        <v>0</v>
      </c>
      <c r="T34" s="710">
        <f t="shared" ca="1" si="11"/>
        <v>0</v>
      </c>
      <c r="U34" s="711">
        <f t="shared" si="12"/>
        <v>3</v>
      </c>
      <c r="V34" s="711">
        <f t="shared" ca="1" si="13"/>
        <v>0</v>
      </c>
    </row>
    <row r="35" spans="1:22" x14ac:dyDescent="0.25">
      <c r="A35" t="s">
        <v>172</v>
      </c>
      <c r="B35" s="615">
        <v>2</v>
      </c>
      <c r="C35" t="s">
        <v>1830</v>
      </c>
      <c r="D35" t="s">
        <v>1853</v>
      </c>
      <c r="E35" s="615">
        <f ca="1">VLOOKUP(A35,Data!C:I,7,FALSE)</f>
        <v>0</v>
      </c>
      <c r="F35" s="709" t="str">
        <f t="shared" si="0"/>
        <v>DE.CM-72</v>
      </c>
      <c r="G35" s="709" t="str">
        <f t="shared" ca="1" si="1"/>
        <v>DE.CM-720</v>
      </c>
      <c r="I35" s="24"/>
      <c r="J35" s="24" t="s">
        <v>1880</v>
      </c>
      <c r="K35" s="710">
        <f t="shared" ca="1" si="2"/>
        <v>0</v>
      </c>
      <c r="L35" s="711">
        <f t="shared" si="3"/>
        <v>13</v>
      </c>
      <c r="M35" s="711">
        <f t="shared" ca="1" si="4"/>
        <v>0</v>
      </c>
      <c r="N35" s="710">
        <f t="shared" ca="1" si="5"/>
        <v>0</v>
      </c>
      <c r="O35" s="711">
        <f t="shared" si="6"/>
        <v>1</v>
      </c>
      <c r="P35" s="711">
        <f t="shared" ca="1" si="7"/>
        <v>0</v>
      </c>
      <c r="Q35" s="710">
        <f t="shared" ca="1" si="8"/>
        <v>0</v>
      </c>
      <c r="R35" s="711">
        <f t="shared" si="9"/>
        <v>6</v>
      </c>
      <c r="S35" s="711">
        <f t="shared" ca="1" si="10"/>
        <v>0</v>
      </c>
      <c r="T35" s="710">
        <f t="shared" ca="1" si="11"/>
        <v>0</v>
      </c>
      <c r="U35" s="711">
        <f t="shared" si="12"/>
        <v>6</v>
      </c>
      <c r="V35" s="711">
        <f t="shared" ca="1" si="13"/>
        <v>0</v>
      </c>
    </row>
    <row r="36" spans="1:22" x14ac:dyDescent="0.25">
      <c r="A36" t="s">
        <v>172</v>
      </c>
      <c r="B36" s="615">
        <v>2</v>
      </c>
      <c r="C36" t="s">
        <v>1829</v>
      </c>
      <c r="D36" t="s">
        <v>1846</v>
      </c>
      <c r="E36" s="615">
        <f ca="1">VLOOKUP(A36,Data!C:I,7,FALSE)</f>
        <v>0</v>
      </c>
      <c r="F36" s="709" t="str">
        <f t="shared" si="0"/>
        <v>PR.AC-32</v>
      </c>
      <c r="G36" s="709" t="str">
        <f t="shared" ca="1" si="1"/>
        <v>PR.AC-320</v>
      </c>
      <c r="I36" s="24"/>
      <c r="J36" s="24" t="s">
        <v>1930</v>
      </c>
      <c r="K36" s="710">
        <f t="shared" ca="1" si="2"/>
        <v>0</v>
      </c>
      <c r="L36" s="711">
        <f t="shared" si="3"/>
        <v>6</v>
      </c>
      <c r="M36" s="711">
        <f t="shared" ca="1" si="4"/>
        <v>0</v>
      </c>
      <c r="N36" s="710">
        <f t="shared" ca="1" si="5"/>
        <v>0</v>
      </c>
      <c r="O36" s="711">
        <f t="shared" si="6"/>
        <v>1</v>
      </c>
      <c r="P36" s="711">
        <f t="shared" ca="1" si="7"/>
        <v>0</v>
      </c>
      <c r="Q36" s="710">
        <f t="shared" ca="1" si="8"/>
        <v>0</v>
      </c>
      <c r="R36" s="711">
        <f t="shared" si="9"/>
        <v>2</v>
      </c>
      <c r="S36" s="711">
        <f t="shared" ca="1" si="10"/>
        <v>0</v>
      </c>
      <c r="T36" s="710">
        <f t="shared" ca="1" si="11"/>
        <v>0</v>
      </c>
      <c r="U36" s="711">
        <f t="shared" si="12"/>
        <v>3</v>
      </c>
      <c r="V36" s="711">
        <f t="shared" ca="1" si="13"/>
        <v>0</v>
      </c>
    </row>
    <row r="37" spans="1:22" x14ac:dyDescent="0.25">
      <c r="A37" t="s">
        <v>172</v>
      </c>
      <c r="B37" s="615">
        <v>2</v>
      </c>
      <c r="C37" t="s">
        <v>1829</v>
      </c>
      <c r="D37" t="s">
        <v>1849</v>
      </c>
      <c r="E37" s="615">
        <f ca="1">VLOOKUP(A37,Data!C:I,7,FALSE)</f>
        <v>0</v>
      </c>
      <c r="F37" s="709" t="str">
        <f t="shared" si="0"/>
        <v>PR.MA-22</v>
      </c>
      <c r="G37" s="709" t="str">
        <f t="shared" ca="1" si="1"/>
        <v>PR.MA-220</v>
      </c>
      <c r="I37" s="24" t="s">
        <v>2056</v>
      </c>
      <c r="J37" s="24" t="s">
        <v>1895</v>
      </c>
      <c r="K37" s="710">
        <f t="shared" ca="1" si="2"/>
        <v>0</v>
      </c>
      <c r="L37" s="711">
        <f t="shared" si="3"/>
        <v>38</v>
      </c>
      <c r="M37" s="711">
        <f t="shared" ca="1" si="4"/>
        <v>0</v>
      </c>
      <c r="N37" s="710">
        <f t="shared" ca="1" si="5"/>
        <v>0</v>
      </c>
      <c r="O37" s="711">
        <f t="shared" si="6"/>
        <v>4</v>
      </c>
      <c r="P37" s="711">
        <f t="shared" ca="1" si="7"/>
        <v>0</v>
      </c>
      <c r="Q37" s="710">
        <f t="shared" ca="1" si="8"/>
        <v>0</v>
      </c>
      <c r="R37" s="711">
        <f t="shared" si="9"/>
        <v>19</v>
      </c>
      <c r="S37" s="711">
        <f t="shared" ca="1" si="10"/>
        <v>0</v>
      </c>
      <c r="T37" s="710">
        <f t="shared" ca="1" si="11"/>
        <v>0</v>
      </c>
      <c r="U37" s="711">
        <f t="shared" si="12"/>
        <v>15</v>
      </c>
      <c r="V37" s="711">
        <f t="shared" ca="1" si="13"/>
        <v>0</v>
      </c>
    </row>
    <row r="38" spans="1:22" x14ac:dyDescent="0.25">
      <c r="A38" t="s">
        <v>172</v>
      </c>
      <c r="B38" s="615">
        <v>2</v>
      </c>
      <c r="C38" t="s">
        <v>1829</v>
      </c>
      <c r="D38" t="s">
        <v>1848</v>
      </c>
      <c r="E38" s="615">
        <f ca="1">VLOOKUP(A38,Data!C:I,7,FALSE)</f>
        <v>0</v>
      </c>
      <c r="F38" s="709" t="str">
        <f t="shared" si="0"/>
        <v>PR.PT-32</v>
      </c>
      <c r="G38" s="709" t="str">
        <f t="shared" ca="1" si="1"/>
        <v>PR.PT-320</v>
      </c>
      <c r="I38" s="24"/>
      <c r="J38" s="24" t="s">
        <v>1932</v>
      </c>
      <c r="K38" s="710">
        <f t="shared" ca="1" si="2"/>
        <v>0</v>
      </c>
      <c r="L38" s="711">
        <f t="shared" si="3"/>
        <v>1</v>
      </c>
      <c r="M38" s="711">
        <f t="shared" ca="1" si="4"/>
        <v>0</v>
      </c>
      <c r="N38" s="710">
        <f t="shared" si="5"/>
        <v>0</v>
      </c>
      <c r="O38" s="711">
        <f t="shared" si="6"/>
        <v>0</v>
      </c>
      <c r="P38" s="711">
        <f t="shared" ca="1" si="7"/>
        <v>0</v>
      </c>
      <c r="Q38" s="710">
        <f t="shared" si="8"/>
        <v>0</v>
      </c>
      <c r="R38" s="711">
        <f t="shared" si="9"/>
        <v>0</v>
      </c>
      <c r="S38" s="711">
        <f t="shared" ca="1" si="10"/>
        <v>0</v>
      </c>
      <c r="T38" s="710">
        <f t="shared" ca="1" si="11"/>
        <v>0</v>
      </c>
      <c r="U38" s="711">
        <f t="shared" si="12"/>
        <v>1</v>
      </c>
      <c r="V38" s="711">
        <f t="shared" ca="1" si="13"/>
        <v>0</v>
      </c>
    </row>
    <row r="39" spans="1:22" x14ac:dyDescent="0.25">
      <c r="A39" t="s">
        <v>174</v>
      </c>
      <c r="B39" s="615">
        <v>3</v>
      </c>
      <c r="C39" t="s">
        <v>1829</v>
      </c>
      <c r="D39" t="s">
        <v>1846</v>
      </c>
      <c r="E39" s="615">
        <f ca="1">VLOOKUP(A39,Data!C:I,7,FALSE)</f>
        <v>0</v>
      </c>
      <c r="F39" s="709" t="str">
        <f t="shared" si="0"/>
        <v>PR.AC-33</v>
      </c>
      <c r="G39" s="709" t="str">
        <f t="shared" ca="1" si="1"/>
        <v>PR.AC-330</v>
      </c>
      <c r="I39" s="24"/>
      <c r="J39" s="24" t="s">
        <v>2061</v>
      </c>
      <c r="K39" s="710">
        <f t="shared" si="2"/>
        <v>0</v>
      </c>
      <c r="L39" s="711">
        <f t="shared" si="3"/>
        <v>0</v>
      </c>
      <c r="M39" s="711">
        <f t="shared" ca="1" si="4"/>
        <v>0</v>
      </c>
      <c r="N39" s="710">
        <f t="shared" si="5"/>
        <v>0</v>
      </c>
      <c r="O39" s="711">
        <f t="shared" si="6"/>
        <v>0</v>
      </c>
      <c r="P39" s="711">
        <f t="shared" ca="1" si="7"/>
        <v>0</v>
      </c>
      <c r="Q39" s="710">
        <f t="shared" si="8"/>
        <v>0</v>
      </c>
      <c r="R39" s="711">
        <f t="shared" si="9"/>
        <v>0</v>
      </c>
      <c r="S39" s="711">
        <f t="shared" ca="1" si="10"/>
        <v>0</v>
      </c>
      <c r="T39" s="710">
        <f t="shared" si="11"/>
        <v>0</v>
      </c>
      <c r="U39" s="711">
        <f t="shared" si="12"/>
        <v>0</v>
      </c>
      <c r="V39" s="711">
        <f t="shared" ca="1" si="13"/>
        <v>0</v>
      </c>
    </row>
    <row r="40" spans="1:22" x14ac:dyDescent="0.25">
      <c r="A40" t="s">
        <v>174</v>
      </c>
      <c r="B40" s="615">
        <v>3</v>
      </c>
      <c r="C40" t="s">
        <v>1829</v>
      </c>
      <c r="D40" t="s">
        <v>1849</v>
      </c>
      <c r="E40" s="615">
        <f ca="1">VLOOKUP(A40,Data!C:I,7,FALSE)</f>
        <v>0</v>
      </c>
      <c r="F40" s="709" t="str">
        <f t="shared" si="0"/>
        <v>PR.MA-23</v>
      </c>
      <c r="G40" s="709" t="str">
        <f t="shared" ca="1" si="1"/>
        <v>PR.MA-230</v>
      </c>
      <c r="I40" s="24" t="s">
        <v>2063</v>
      </c>
      <c r="J40" s="24" t="s">
        <v>1891</v>
      </c>
      <c r="K40" s="710">
        <f t="shared" ca="1" si="2"/>
        <v>0</v>
      </c>
      <c r="L40" s="711">
        <f t="shared" si="3"/>
        <v>15</v>
      </c>
      <c r="M40" s="711">
        <f t="shared" ca="1" si="4"/>
        <v>0</v>
      </c>
      <c r="N40" s="710">
        <f t="shared" ca="1" si="5"/>
        <v>0</v>
      </c>
      <c r="O40" s="711">
        <f t="shared" si="6"/>
        <v>4</v>
      </c>
      <c r="P40" s="711">
        <f t="shared" ca="1" si="7"/>
        <v>0</v>
      </c>
      <c r="Q40" s="710">
        <f t="shared" ca="1" si="8"/>
        <v>0</v>
      </c>
      <c r="R40" s="711">
        <f t="shared" si="9"/>
        <v>6</v>
      </c>
      <c r="S40" s="711">
        <f t="shared" ca="1" si="10"/>
        <v>0</v>
      </c>
      <c r="T40" s="710">
        <f t="shared" ca="1" si="11"/>
        <v>0</v>
      </c>
      <c r="U40" s="711">
        <f t="shared" si="12"/>
        <v>5</v>
      </c>
      <c r="V40" s="711">
        <f t="shared" ca="1" si="13"/>
        <v>0</v>
      </c>
    </row>
    <row r="41" spans="1:22" x14ac:dyDescent="0.25">
      <c r="A41" t="s">
        <v>174</v>
      </c>
      <c r="B41" s="615">
        <v>3</v>
      </c>
      <c r="C41" t="s">
        <v>1829</v>
      </c>
      <c r="D41" t="s">
        <v>1848</v>
      </c>
      <c r="E41" s="615">
        <f ca="1">VLOOKUP(A41,Data!C:I,7,FALSE)</f>
        <v>0</v>
      </c>
      <c r="F41" s="709" t="str">
        <f t="shared" si="0"/>
        <v>PR.PT-33</v>
      </c>
      <c r="G41" s="709" t="str">
        <f t="shared" ca="1" si="1"/>
        <v>PR.PT-330</v>
      </c>
      <c r="I41" s="24"/>
      <c r="J41" s="24" t="s">
        <v>1871</v>
      </c>
      <c r="K41" s="710">
        <f t="shared" ca="1" si="2"/>
        <v>0</v>
      </c>
      <c r="L41" s="711">
        <f t="shared" si="3"/>
        <v>10</v>
      </c>
      <c r="M41" s="711">
        <f t="shared" ca="1" si="4"/>
        <v>0</v>
      </c>
      <c r="N41" s="710">
        <f t="shared" ca="1" si="5"/>
        <v>0</v>
      </c>
      <c r="O41" s="711">
        <f t="shared" si="6"/>
        <v>2</v>
      </c>
      <c r="P41" s="711">
        <f t="shared" ca="1" si="7"/>
        <v>0</v>
      </c>
      <c r="Q41" s="710">
        <f t="shared" ca="1" si="8"/>
        <v>0</v>
      </c>
      <c r="R41" s="711">
        <f t="shared" si="9"/>
        <v>5</v>
      </c>
      <c r="S41" s="711">
        <f t="shared" ca="1" si="10"/>
        <v>0</v>
      </c>
      <c r="T41" s="710">
        <f t="shared" ca="1" si="11"/>
        <v>0</v>
      </c>
      <c r="U41" s="711">
        <f t="shared" si="12"/>
        <v>3</v>
      </c>
      <c r="V41" s="711">
        <f t="shared" ca="1" si="13"/>
        <v>0</v>
      </c>
    </row>
    <row r="42" spans="1:22" x14ac:dyDescent="0.25">
      <c r="A42" t="s">
        <v>1050</v>
      </c>
      <c r="B42" s="615">
        <v>3</v>
      </c>
      <c r="C42" t="s">
        <v>1830</v>
      </c>
      <c r="D42" t="s">
        <v>1851</v>
      </c>
      <c r="E42" s="615">
        <f ca="1">VLOOKUP(A42,Data!C:I,7,FALSE)</f>
        <v>0</v>
      </c>
      <c r="F42" s="709" t="str">
        <f t="shared" si="0"/>
        <v>DE.CM-33</v>
      </c>
      <c r="G42" s="709" t="str">
        <f t="shared" ca="1" si="1"/>
        <v>DE.CM-330</v>
      </c>
      <c r="I42" s="24"/>
      <c r="J42" s="24" t="s">
        <v>1935</v>
      </c>
      <c r="K42" s="710">
        <f t="shared" ca="1" si="2"/>
        <v>0</v>
      </c>
      <c r="L42" s="711">
        <f t="shared" si="3"/>
        <v>8</v>
      </c>
      <c r="M42" s="711">
        <f t="shared" ca="1" si="4"/>
        <v>0</v>
      </c>
      <c r="N42" s="710">
        <f t="shared" ca="1" si="5"/>
        <v>0</v>
      </c>
      <c r="O42" s="711">
        <f t="shared" si="6"/>
        <v>2</v>
      </c>
      <c r="P42" s="711">
        <f t="shared" ca="1" si="7"/>
        <v>0</v>
      </c>
      <c r="Q42" s="710">
        <f t="shared" ca="1" si="8"/>
        <v>0</v>
      </c>
      <c r="R42" s="711">
        <f t="shared" si="9"/>
        <v>3</v>
      </c>
      <c r="S42" s="711">
        <f t="shared" ca="1" si="10"/>
        <v>0</v>
      </c>
      <c r="T42" s="710">
        <f t="shared" ca="1" si="11"/>
        <v>0</v>
      </c>
      <c r="U42" s="711">
        <f t="shared" si="12"/>
        <v>3</v>
      </c>
      <c r="V42" s="711">
        <f t="shared" ca="1" si="13"/>
        <v>0</v>
      </c>
    </row>
    <row r="43" spans="1:22" x14ac:dyDescent="0.25">
      <c r="A43" t="s">
        <v>1050</v>
      </c>
      <c r="B43" s="615">
        <v>3</v>
      </c>
      <c r="C43" t="s">
        <v>1830</v>
      </c>
      <c r="D43" t="s">
        <v>1852</v>
      </c>
      <c r="E43" s="615">
        <f ca="1">VLOOKUP(A43,Data!C:I,7,FALSE)</f>
        <v>0</v>
      </c>
      <c r="F43" s="709" t="str">
        <f t="shared" si="0"/>
        <v>DE.CM-63</v>
      </c>
      <c r="G43" s="709" t="str">
        <f t="shared" ca="1" si="1"/>
        <v>DE.CM-630</v>
      </c>
      <c r="I43" s="24"/>
      <c r="J43" s="24" t="s">
        <v>1936</v>
      </c>
      <c r="K43" s="710">
        <f t="shared" ca="1" si="2"/>
        <v>0</v>
      </c>
      <c r="L43" s="711">
        <f t="shared" si="3"/>
        <v>3</v>
      </c>
      <c r="M43" s="711">
        <f t="shared" ca="1" si="4"/>
        <v>0</v>
      </c>
      <c r="N43" s="710">
        <f t="shared" si="5"/>
        <v>0</v>
      </c>
      <c r="O43" s="711">
        <f t="shared" si="6"/>
        <v>0</v>
      </c>
      <c r="P43" s="711">
        <f t="shared" ca="1" si="7"/>
        <v>0</v>
      </c>
      <c r="Q43" s="710">
        <f t="shared" ca="1" si="8"/>
        <v>0</v>
      </c>
      <c r="R43" s="711">
        <f t="shared" si="9"/>
        <v>2</v>
      </c>
      <c r="S43" s="711">
        <f t="shared" ca="1" si="10"/>
        <v>0</v>
      </c>
      <c r="T43" s="710">
        <f t="shared" ca="1" si="11"/>
        <v>0</v>
      </c>
      <c r="U43" s="711">
        <f t="shared" si="12"/>
        <v>1</v>
      </c>
      <c r="V43" s="711">
        <f t="shared" ca="1" si="13"/>
        <v>0</v>
      </c>
    </row>
    <row r="44" spans="1:22" x14ac:dyDescent="0.25">
      <c r="A44" t="s">
        <v>1050</v>
      </c>
      <c r="B44" s="615">
        <v>3</v>
      </c>
      <c r="C44" t="s">
        <v>1830</v>
      </c>
      <c r="D44" t="s">
        <v>1853</v>
      </c>
      <c r="E44" s="615">
        <f ca="1">VLOOKUP(A44,Data!C:I,7,FALSE)</f>
        <v>0</v>
      </c>
      <c r="F44" s="709" t="str">
        <f t="shared" si="0"/>
        <v>DE.CM-73</v>
      </c>
      <c r="G44" s="709" t="str">
        <f t="shared" ca="1" si="1"/>
        <v>DE.CM-730</v>
      </c>
      <c r="I44" s="24"/>
      <c r="J44" s="24" t="s">
        <v>1900</v>
      </c>
      <c r="K44" s="710">
        <f t="shared" ca="1" si="2"/>
        <v>0</v>
      </c>
      <c r="L44" s="711">
        <f t="shared" si="3"/>
        <v>6</v>
      </c>
      <c r="M44" s="711">
        <f t="shared" ca="1" si="4"/>
        <v>0</v>
      </c>
      <c r="N44" s="710">
        <f t="shared" ca="1" si="5"/>
        <v>0</v>
      </c>
      <c r="O44" s="711">
        <f t="shared" si="6"/>
        <v>1</v>
      </c>
      <c r="P44" s="711">
        <f t="shared" ca="1" si="7"/>
        <v>0</v>
      </c>
      <c r="Q44" s="710">
        <f t="shared" ca="1" si="8"/>
        <v>0</v>
      </c>
      <c r="R44" s="711">
        <f t="shared" si="9"/>
        <v>2</v>
      </c>
      <c r="S44" s="711">
        <f t="shared" ca="1" si="10"/>
        <v>0</v>
      </c>
      <c r="T44" s="710">
        <f t="shared" ca="1" si="11"/>
        <v>0</v>
      </c>
      <c r="U44" s="711">
        <f t="shared" si="12"/>
        <v>3</v>
      </c>
      <c r="V44" s="711">
        <f t="shared" ca="1" si="13"/>
        <v>0</v>
      </c>
    </row>
    <row r="45" spans="1:22" x14ac:dyDescent="0.25">
      <c r="A45" t="s">
        <v>1050</v>
      </c>
      <c r="B45" s="615">
        <v>3</v>
      </c>
      <c r="C45" t="s">
        <v>1829</v>
      </c>
      <c r="D45" t="s">
        <v>1848</v>
      </c>
      <c r="E45" s="615">
        <f ca="1">VLOOKUP(A45,Data!C:I,7,FALSE)</f>
        <v>0</v>
      </c>
      <c r="F45" s="709" t="str">
        <f t="shared" si="0"/>
        <v>PR.PT-33</v>
      </c>
      <c r="G45" s="709" t="str">
        <f t="shared" ca="1" si="1"/>
        <v>PR.PT-330</v>
      </c>
      <c r="I45" s="24" t="s">
        <v>2071</v>
      </c>
      <c r="J45" s="24" t="s">
        <v>1843</v>
      </c>
      <c r="K45" s="710">
        <f t="shared" ca="1" si="2"/>
        <v>0</v>
      </c>
      <c r="L45" s="711">
        <f t="shared" si="3"/>
        <v>11</v>
      </c>
      <c r="M45" s="711">
        <f t="shared" ca="1" si="4"/>
        <v>0</v>
      </c>
      <c r="N45" s="710">
        <f t="shared" ca="1" si="5"/>
        <v>0</v>
      </c>
      <c r="O45" s="711">
        <f t="shared" si="6"/>
        <v>4</v>
      </c>
      <c r="P45" s="711">
        <f t="shared" ca="1" si="7"/>
        <v>0</v>
      </c>
      <c r="Q45" s="710">
        <f t="shared" ca="1" si="8"/>
        <v>0</v>
      </c>
      <c r="R45" s="711">
        <f t="shared" si="9"/>
        <v>7</v>
      </c>
      <c r="S45" s="711">
        <f t="shared" ca="1" si="10"/>
        <v>0</v>
      </c>
      <c r="T45" s="710">
        <f t="shared" si="11"/>
        <v>0</v>
      </c>
      <c r="U45" s="711">
        <f t="shared" si="12"/>
        <v>0</v>
      </c>
      <c r="V45" s="711">
        <f t="shared" ca="1" si="13"/>
        <v>0</v>
      </c>
    </row>
    <row r="46" spans="1:22" x14ac:dyDescent="0.25">
      <c r="A46" t="s">
        <v>176</v>
      </c>
      <c r="B46" s="615">
        <v>1</v>
      </c>
      <c r="C46" t="s">
        <v>1829</v>
      </c>
      <c r="D46" t="s">
        <v>1854</v>
      </c>
      <c r="E46" s="615">
        <f ca="1">VLOOKUP(A46,Data!C:I,7,FALSE)</f>
        <v>0</v>
      </c>
      <c r="F46" s="709" t="str">
        <f t="shared" si="0"/>
        <v>PR.AC-21</v>
      </c>
      <c r="G46" s="709" t="str">
        <f t="shared" ca="1" si="1"/>
        <v>PR.AC-210</v>
      </c>
      <c r="I46" s="24"/>
      <c r="J46" s="24" t="s">
        <v>1854</v>
      </c>
      <c r="K46" s="710">
        <f t="shared" ca="1" si="2"/>
        <v>0</v>
      </c>
      <c r="L46" s="711">
        <f t="shared" si="3"/>
        <v>13</v>
      </c>
      <c r="M46" s="711">
        <f t="shared" ca="1" si="4"/>
        <v>0</v>
      </c>
      <c r="N46" s="710">
        <f t="shared" ca="1" si="5"/>
        <v>0</v>
      </c>
      <c r="O46" s="711">
        <f t="shared" si="6"/>
        <v>4</v>
      </c>
      <c r="P46" s="711">
        <f t="shared" ca="1" si="7"/>
        <v>0</v>
      </c>
      <c r="Q46" s="710">
        <f t="shared" ca="1" si="8"/>
        <v>0</v>
      </c>
      <c r="R46" s="711">
        <f t="shared" si="9"/>
        <v>8</v>
      </c>
      <c r="S46" s="711">
        <f t="shared" ca="1" si="10"/>
        <v>0</v>
      </c>
      <c r="T46" s="710">
        <f t="shared" ca="1" si="11"/>
        <v>0</v>
      </c>
      <c r="U46" s="711">
        <f t="shared" si="12"/>
        <v>1</v>
      </c>
      <c r="V46" s="711">
        <f t="shared" ca="1" si="13"/>
        <v>0</v>
      </c>
    </row>
    <row r="47" spans="1:22" x14ac:dyDescent="0.25">
      <c r="A47" t="s">
        <v>177</v>
      </c>
      <c r="B47" s="615">
        <v>1</v>
      </c>
      <c r="C47" t="s">
        <v>1829</v>
      </c>
      <c r="D47" t="s">
        <v>1854</v>
      </c>
      <c r="E47" s="615">
        <f ca="1">VLOOKUP(A47,Data!C:I,7,FALSE)</f>
        <v>0</v>
      </c>
      <c r="F47" s="709" t="str">
        <f t="shared" si="0"/>
        <v>PR.AC-21</v>
      </c>
      <c r="G47" s="709" t="str">
        <f t="shared" ca="1" si="1"/>
        <v>PR.AC-210</v>
      </c>
      <c r="I47" s="24"/>
      <c r="J47" s="24" t="s">
        <v>1846</v>
      </c>
      <c r="K47" s="710">
        <f t="shared" ca="1" si="2"/>
        <v>0</v>
      </c>
      <c r="L47" s="711">
        <f t="shared" si="3"/>
        <v>10</v>
      </c>
      <c r="M47" s="711">
        <f t="shared" ca="1" si="4"/>
        <v>0</v>
      </c>
      <c r="N47" s="710">
        <f t="shared" ca="1" si="5"/>
        <v>0</v>
      </c>
      <c r="O47" s="711">
        <f t="shared" si="6"/>
        <v>2</v>
      </c>
      <c r="P47" s="711">
        <f t="shared" ca="1" si="7"/>
        <v>0</v>
      </c>
      <c r="Q47" s="710">
        <f t="shared" ca="1" si="8"/>
        <v>0</v>
      </c>
      <c r="R47" s="711">
        <f t="shared" si="9"/>
        <v>7</v>
      </c>
      <c r="S47" s="711">
        <f t="shared" ca="1" si="10"/>
        <v>0</v>
      </c>
      <c r="T47" s="710">
        <f t="shared" ca="1" si="11"/>
        <v>0</v>
      </c>
      <c r="U47" s="711">
        <f t="shared" si="12"/>
        <v>1</v>
      </c>
      <c r="V47" s="711">
        <f t="shared" ca="1" si="13"/>
        <v>0</v>
      </c>
    </row>
    <row r="48" spans="1:22" x14ac:dyDescent="0.25">
      <c r="A48" t="s">
        <v>178</v>
      </c>
      <c r="B48" s="615">
        <v>1</v>
      </c>
      <c r="C48" t="s">
        <v>1830</v>
      </c>
      <c r="D48" t="s">
        <v>1855</v>
      </c>
      <c r="E48" s="615">
        <f ca="1">VLOOKUP(A48,Data!C:I,7,FALSE)</f>
        <v>0</v>
      </c>
      <c r="F48" s="709" t="str">
        <f t="shared" si="0"/>
        <v>DE.CM-21</v>
      </c>
      <c r="G48" s="709" t="str">
        <f t="shared" ca="1" si="1"/>
        <v>DE.CM-210</v>
      </c>
      <c r="I48" s="24"/>
      <c r="J48" s="24" t="s">
        <v>1850</v>
      </c>
      <c r="K48" s="710">
        <f t="shared" ca="1" si="2"/>
        <v>0</v>
      </c>
      <c r="L48" s="711">
        <f t="shared" si="3"/>
        <v>6</v>
      </c>
      <c r="M48" s="711">
        <f t="shared" ca="1" si="4"/>
        <v>0</v>
      </c>
      <c r="N48" s="710">
        <f t="shared" si="5"/>
        <v>0</v>
      </c>
      <c r="O48" s="711">
        <f t="shared" si="6"/>
        <v>0</v>
      </c>
      <c r="P48" s="711">
        <f t="shared" ca="1" si="7"/>
        <v>0</v>
      </c>
      <c r="Q48" s="710">
        <f t="shared" ca="1" si="8"/>
        <v>0</v>
      </c>
      <c r="R48" s="711">
        <f t="shared" si="9"/>
        <v>6</v>
      </c>
      <c r="S48" s="711">
        <f t="shared" ca="1" si="10"/>
        <v>0</v>
      </c>
      <c r="T48" s="710">
        <f t="shared" si="11"/>
        <v>0</v>
      </c>
      <c r="U48" s="711">
        <f t="shared" si="12"/>
        <v>0</v>
      </c>
      <c r="V48" s="711">
        <f t="shared" ca="1" si="13"/>
        <v>0</v>
      </c>
    </row>
    <row r="49" spans="1:22" x14ac:dyDescent="0.25">
      <c r="A49" t="s">
        <v>178</v>
      </c>
      <c r="B49" s="615">
        <v>1</v>
      </c>
      <c r="C49" t="s">
        <v>1830</v>
      </c>
      <c r="D49" t="s">
        <v>1851</v>
      </c>
      <c r="E49" s="615">
        <f ca="1">VLOOKUP(A49,Data!C:I,7,FALSE)</f>
        <v>0</v>
      </c>
      <c r="F49" s="709" t="str">
        <f t="shared" si="0"/>
        <v>DE.CM-31</v>
      </c>
      <c r="G49" s="709" t="str">
        <f t="shared" ca="1" si="1"/>
        <v>DE.CM-310</v>
      </c>
      <c r="I49" s="24"/>
      <c r="J49" s="24" t="s">
        <v>1860</v>
      </c>
      <c r="K49" s="710">
        <f t="shared" ca="1" si="2"/>
        <v>0</v>
      </c>
      <c r="L49" s="711">
        <f t="shared" si="3"/>
        <v>16</v>
      </c>
      <c r="M49" s="711">
        <f t="shared" ca="1" si="4"/>
        <v>0</v>
      </c>
      <c r="N49" s="710">
        <f t="shared" ca="1" si="5"/>
        <v>0</v>
      </c>
      <c r="O49" s="711">
        <f t="shared" si="6"/>
        <v>2</v>
      </c>
      <c r="P49" s="711">
        <f t="shared" ca="1" si="7"/>
        <v>0</v>
      </c>
      <c r="Q49" s="710">
        <f t="shared" ca="1" si="8"/>
        <v>0</v>
      </c>
      <c r="R49" s="711">
        <f t="shared" si="9"/>
        <v>8</v>
      </c>
      <c r="S49" s="711">
        <f t="shared" ca="1" si="10"/>
        <v>0</v>
      </c>
      <c r="T49" s="710">
        <f t="shared" ca="1" si="11"/>
        <v>0</v>
      </c>
      <c r="U49" s="711">
        <f t="shared" si="12"/>
        <v>6</v>
      </c>
      <c r="V49" s="711">
        <f t="shared" ca="1" si="13"/>
        <v>0</v>
      </c>
    </row>
    <row r="50" spans="1:22" x14ac:dyDescent="0.25">
      <c r="A50" t="s">
        <v>178</v>
      </c>
      <c r="B50" s="615">
        <v>1</v>
      </c>
      <c r="C50" t="s">
        <v>1830</v>
      </c>
      <c r="D50" t="s">
        <v>1852</v>
      </c>
      <c r="E50" s="615">
        <f ca="1">VLOOKUP(A50,Data!C:I,7,FALSE)</f>
        <v>0</v>
      </c>
      <c r="F50" s="709" t="str">
        <f t="shared" si="0"/>
        <v>DE.CM-61</v>
      </c>
      <c r="G50" s="709" t="str">
        <f t="shared" ca="1" si="1"/>
        <v>DE.CM-610</v>
      </c>
      <c r="I50" s="24"/>
      <c r="J50" s="24" t="s">
        <v>1844</v>
      </c>
      <c r="K50" s="710">
        <f t="shared" ca="1" si="2"/>
        <v>0</v>
      </c>
      <c r="L50" s="711">
        <f t="shared" si="3"/>
        <v>1</v>
      </c>
      <c r="M50" s="711">
        <f t="shared" ca="1" si="4"/>
        <v>0</v>
      </c>
      <c r="N50" s="710">
        <f t="shared" si="5"/>
        <v>0</v>
      </c>
      <c r="O50" s="711">
        <f t="shared" si="6"/>
        <v>0</v>
      </c>
      <c r="P50" s="711">
        <f t="shared" ca="1" si="7"/>
        <v>0</v>
      </c>
      <c r="Q50" s="710">
        <f t="shared" ca="1" si="8"/>
        <v>0</v>
      </c>
      <c r="R50" s="711">
        <f t="shared" si="9"/>
        <v>1</v>
      </c>
      <c r="S50" s="711">
        <f t="shared" ca="1" si="10"/>
        <v>0</v>
      </c>
      <c r="T50" s="710">
        <f t="shared" si="11"/>
        <v>0</v>
      </c>
      <c r="U50" s="711">
        <f t="shared" si="12"/>
        <v>0</v>
      </c>
      <c r="V50" s="711">
        <f t="shared" ca="1" si="13"/>
        <v>0</v>
      </c>
    </row>
    <row r="51" spans="1:22" x14ac:dyDescent="0.25">
      <c r="A51" t="s">
        <v>178</v>
      </c>
      <c r="B51" s="615">
        <v>1</v>
      </c>
      <c r="C51" t="s">
        <v>1830</v>
      </c>
      <c r="D51" t="s">
        <v>1853</v>
      </c>
      <c r="E51" s="615">
        <f ca="1">VLOOKUP(A51,Data!C:I,7,FALSE)</f>
        <v>0</v>
      </c>
      <c r="F51" s="709" t="str">
        <f t="shared" si="0"/>
        <v>DE.CM-71</v>
      </c>
      <c r="G51" s="709" t="str">
        <f t="shared" ca="1" si="1"/>
        <v>DE.CM-710</v>
      </c>
      <c r="I51" s="24"/>
      <c r="J51" s="24" t="s">
        <v>1845</v>
      </c>
      <c r="K51" s="710">
        <f t="shared" ca="1" si="2"/>
        <v>0</v>
      </c>
      <c r="L51" s="711">
        <f t="shared" si="3"/>
        <v>5</v>
      </c>
      <c r="M51" s="711">
        <f t="shared" ca="1" si="4"/>
        <v>0</v>
      </c>
      <c r="N51" s="710">
        <f t="shared" si="5"/>
        <v>0</v>
      </c>
      <c r="O51" s="711">
        <f t="shared" si="6"/>
        <v>0</v>
      </c>
      <c r="P51" s="711">
        <f t="shared" ca="1" si="7"/>
        <v>0</v>
      </c>
      <c r="Q51" s="710">
        <f t="shared" ca="1" si="8"/>
        <v>0</v>
      </c>
      <c r="R51" s="711">
        <f t="shared" si="9"/>
        <v>5</v>
      </c>
      <c r="S51" s="711">
        <f t="shared" ca="1" si="10"/>
        <v>0</v>
      </c>
      <c r="T51" s="710">
        <f t="shared" si="11"/>
        <v>0</v>
      </c>
      <c r="U51" s="711">
        <f t="shared" si="12"/>
        <v>0</v>
      </c>
      <c r="V51" s="711">
        <f t="shared" ca="1" si="13"/>
        <v>0</v>
      </c>
    </row>
    <row r="52" spans="1:22" x14ac:dyDescent="0.25">
      <c r="A52" t="s">
        <v>178</v>
      </c>
      <c r="B52" s="615">
        <v>1</v>
      </c>
      <c r="C52" t="s">
        <v>1829</v>
      </c>
      <c r="D52" t="s">
        <v>1854</v>
      </c>
      <c r="E52" s="615">
        <f ca="1">VLOOKUP(A52,Data!C:I,7,FALSE)</f>
        <v>0</v>
      </c>
      <c r="F52" s="709" t="str">
        <f t="shared" si="0"/>
        <v>PR.AC-21</v>
      </c>
      <c r="G52" s="709" t="str">
        <f t="shared" ca="1" si="1"/>
        <v>PR.AC-210</v>
      </c>
      <c r="I52" s="24" t="s">
        <v>2081</v>
      </c>
      <c r="J52" s="24" t="s">
        <v>1947</v>
      </c>
      <c r="K52" s="710">
        <f t="shared" ca="1" si="2"/>
        <v>0</v>
      </c>
      <c r="L52" s="711">
        <f t="shared" si="3"/>
        <v>11</v>
      </c>
      <c r="M52" s="711">
        <f t="shared" ca="1" si="4"/>
        <v>0</v>
      </c>
      <c r="N52" s="710">
        <f t="shared" ca="1" si="5"/>
        <v>0</v>
      </c>
      <c r="O52" s="711">
        <f t="shared" si="6"/>
        <v>3</v>
      </c>
      <c r="P52" s="711">
        <f t="shared" ca="1" si="7"/>
        <v>0</v>
      </c>
      <c r="Q52" s="710">
        <f t="shared" ca="1" si="8"/>
        <v>0</v>
      </c>
      <c r="R52" s="711">
        <f t="shared" si="9"/>
        <v>4</v>
      </c>
      <c r="S52" s="711">
        <f t="shared" ca="1" si="10"/>
        <v>0</v>
      </c>
      <c r="T52" s="710">
        <f t="shared" ca="1" si="11"/>
        <v>0</v>
      </c>
      <c r="U52" s="711">
        <f t="shared" si="12"/>
        <v>4</v>
      </c>
      <c r="V52" s="711">
        <f t="shared" ca="1" si="13"/>
        <v>0</v>
      </c>
    </row>
    <row r="53" spans="1:22" x14ac:dyDescent="0.25">
      <c r="A53" t="s">
        <v>179</v>
      </c>
      <c r="B53" s="615">
        <v>2</v>
      </c>
      <c r="C53" t="s">
        <v>1829</v>
      </c>
      <c r="D53" t="s">
        <v>1854</v>
      </c>
      <c r="E53" s="615">
        <f ca="1">VLOOKUP(A53,Data!C:I,7,FALSE)</f>
        <v>0</v>
      </c>
      <c r="F53" s="709" t="str">
        <f t="shared" si="0"/>
        <v>PR.AC-22</v>
      </c>
      <c r="G53" s="709" t="str">
        <f t="shared" ca="1" si="1"/>
        <v>PR.AC-220</v>
      </c>
      <c r="I53" s="24"/>
      <c r="J53" s="24" t="s">
        <v>1943</v>
      </c>
      <c r="K53" s="710">
        <f t="shared" ca="1" si="2"/>
        <v>0</v>
      </c>
      <c r="L53" s="711">
        <f t="shared" si="3"/>
        <v>6</v>
      </c>
      <c r="M53" s="711">
        <f t="shared" ca="1" si="4"/>
        <v>0</v>
      </c>
      <c r="N53" s="710">
        <f t="shared" ca="1" si="5"/>
        <v>0</v>
      </c>
      <c r="O53" s="711">
        <f t="shared" si="6"/>
        <v>2</v>
      </c>
      <c r="P53" s="711">
        <f t="shared" ca="1" si="7"/>
        <v>0</v>
      </c>
      <c r="Q53" s="710">
        <f t="shared" ca="1" si="8"/>
        <v>0</v>
      </c>
      <c r="R53" s="711">
        <f t="shared" si="9"/>
        <v>2</v>
      </c>
      <c r="S53" s="711">
        <f t="shared" ca="1" si="10"/>
        <v>0</v>
      </c>
      <c r="T53" s="710">
        <f t="shared" ca="1" si="11"/>
        <v>0</v>
      </c>
      <c r="U53" s="711">
        <f t="shared" si="12"/>
        <v>2</v>
      </c>
      <c r="V53" s="711">
        <f t="shared" ca="1" si="13"/>
        <v>0</v>
      </c>
    </row>
    <row r="54" spans="1:22" x14ac:dyDescent="0.25">
      <c r="A54" t="s">
        <v>179</v>
      </c>
      <c r="B54" s="615">
        <v>2</v>
      </c>
      <c r="C54" t="s">
        <v>1829</v>
      </c>
      <c r="D54" t="s">
        <v>1845</v>
      </c>
      <c r="E54" s="615">
        <f ca="1">VLOOKUP(A54,Data!C:I,7,FALSE)</f>
        <v>0</v>
      </c>
      <c r="F54" s="709" t="str">
        <f t="shared" si="0"/>
        <v>PR.AC-72</v>
      </c>
      <c r="G54" s="709" t="str">
        <f t="shared" ca="1" si="1"/>
        <v>PR.AC-720</v>
      </c>
      <c r="I54" s="24"/>
      <c r="J54" s="24" t="s">
        <v>1944</v>
      </c>
      <c r="K54" s="710">
        <f t="shared" ca="1" si="2"/>
        <v>0</v>
      </c>
      <c r="L54" s="711">
        <f t="shared" si="3"/>
        <v>6</v>
      </c>
      <c r="M54" s="711">
        <f t="shared" ca="1" si="4"/>
        <v>0</v>
      </c>
      <c r="N54" s="710">
        <f t="shared" ca="1" si="5"/>
        <v>0</v>
      </c>
      <c r="O54" s="711">
        <f t="shared" si="6"/>
        <v>2</v>
      </c>
      <c r="P54" s="711">
        <f t="shared" ca="1" si="7"/>
        <v>0</v>
      </c>
      <c r="Q54" s="710">
        <f t="shared" ca="1" si="8"/>
        <v>0</v>
      </c>
      <c r="R54" s="711">
        <f t="shared" si="9"/>
        <v>2</v>
      </c>
      <c r="S54" s="711">
        <f t="shared" ca="1" si="10"/>
        <v>0</v>
      </c>
      <c r="T54" s="710">
        <f t="shared" ca="1" si="11"/>
        <v>0</v>
      </c>
      <c r="U54" s="711">
        <f t="shared" si="12"/>
        <v>2</v>
      </c>
      <c r="V54" s="711">
        <f t="shared" ca="1" si="13"/>
        <v>0</v>
      </c>
    </row>
    <row r="55" spans="1:22" x14ac:dyDescent="0.25">
      <c r="A55" t="s">
        <v>180</v>
      </c>
      <c r="B55" s="615">
        <v>2</v>
      </c>
      <c r="C55" t="s">
        <v>1829</v>
      </c>
      <c r="D55" t="s">
        <v>1854</v>
      </c>
      <c r="E55" s="615">
        <f ca="1">VLOOKUP(A55,Data!C:I,7,FALSE)</f>
        <v>0</v>
      </c>
      <c r="F55" s="709" t="str">
        <f t="shared" si="0"/>
        <v>PR.AC-22</v>
      </c>
      <c r="G55" s="709" t="str">
        <f t="shared" ca="1" si="1"/>
        <v>PR.AC-220</v>
      </c>
      <c r="I55" s="24"/>
      <c r="J55" s="24" t="s">
        <v>1893</v>
      </c>
      <c r="K55" s="710">
        <f t="shared" ca="1" si="2"/>
        <v>0</v>
      </c>
      <c r="L55" s="711">
        <f t="shared" si="3"/>
        <v>8</v>
      </c>
      <c r="M55" s="711">
        <f t="shared" ca="1" si="4"/>
        <v>0</v>
      </c>
      <c r="N55" s="710">
        <f t="shared" ca="1" si="5"/>
        <v>0</v>
      </c>
      <c r="O55" s="711">
        <f t="shared" si="6"/>
        <v>2</v>
      </c>
      <c r="P55" s="711">
        <f t="shared" ca="1" si="7"/>
        <v>0</v>
      </c>
      <c r="Q55" s="710">
        <f t="shared" ca="1" si="8"/>
        <v>0</v>
      </c>
      <c r="R55" s="711">
        <f t="shared" si="9"/>
        <v>4</v>
      </c>
      <c r="S55" s="711">
        <f t="shared" ca="1" si="10"/>
        <v>0</v>
      </c>
      <c r="T55" s="710">
        <f t="shared" ca="1" si="11"/>
        <v>0</v>
      </c>
      <c r="U55" s="711">
        <f t="shared" si="12"/>
        <v>2</v>
      </c>
      <c r="V55" s="711">
        <f t="shared" ca="1" si="13"/>
        <v>0</v>
      </c>
    </row>
    <row r="56" spans="1:22" x14ac:dyDescent="0.25">
      <c r="A56" t="s">
        <v>180</v>
      </c>
      <c r="B56" s="615">
        <v>2</v>
      </c>
      <c r="C56" t="s">
        <v>1829</v>
      </c>
      <c r="D56" t="s">
        <v>1850</v>
      </c>
      <c r="E56" s="615">
        <f ca="1">VLOOKUP(A56,Data!C:I,7,FALSE)</f>
        <v>0</v>
      </c>
      <c r="F56" s="709" t="str">
        <f t="shared" si="0"/>
        <v>PR.AC-42</v>
      </c>
      <c r="G56" s="709" t="str">
        <f t="shared" ca="1" si="1"/>
        <v>PR.AC-420</v>
      </c>
      <c r="I56" s="24"/>
      <c r="J56" s="24" t="s">
        <v>1945</v>
      </c>
      <c r="K56" s="710">
        <f t="shared" ca="1" si="2"/>
        <v>0</v>
      </c>
      <c r="L56" s="711">
        <f t="shared" si="3"/>
        <v>6</v>
      </c>
      <c r="M56" s="711">
        <f t="shared" ca="1" si="4"/>
        <v>0</v>
      </c>
      <c r="N56" s="710">
        <f t="shared" ca="1" si="5"/>
        <v>0</v>
      </c>
      <c r="O56" s="711">
        <f t="shared" si="6"/>
        <v>2</v>
      </c>
      <c r="P56" s="711">
        <f t="shared" ca="1" si="7"/>
        <v>0</v>
      </c>
      <c r="Q56" s="710">
        <f t="shared" ca="1" si="8"/>
        <v>0</v>
      </c>
      <c r="R56" s="711">
        <f t="shared" si="9"/>
        <v>2</v>
      </c>
      <c r="S56" s="711">
        <f t="shared" ca="1" si="10"/>
        <v>0</v>
      </c>
      <c r="T56" s="710">
        <f t="shared" ca="1" si="11"/>
        <v>0</v>
      </c>
      <c r="U56" s="711">
        <f t="shared" si="12"/>
        <v>2</v>
      </c>
      <c r="V56" s="711">
        <f t="shared" ca="1" si="13"/>
        <v>0</v>
      </c>
    </row>
    <row r="57" spans="1:22" x14ac:dyDescent="0.25">
      <c r="A57" t="s">
        <v>181</v>
      </c>
      <c r="B57" s="615">
        <v>2</v>
      </c>
      <c r="C57" t="s">
        <v>1829</v>
      </c>
      <c r="D57" t="s">
        <v>1854</v>
      </c>
      <c r="E57" s="615">
        <f ca="1">VLOOKUP(A57,Data!C:I,7,FALSE)</f>
        <v>0</v>
      </c>
      <c r="F57" s="709" t="str">
        <f t="shared" si="0"/>
        <v>PR.AC-22</v>
      </c>
      <c r="G57" s="709" t="str">
        <f t="shared" ca="1" si="1"/>
        <v>PR.AC-220</v>
      </c>
      <c r="I57" s="24" t="s">
        <v>2089</v>
      </c>
      <c r="J57" s="24" t="s">
        <v>1874</v>
      </c>
      <c r="K57" s="710">
        <f t="shared" ca="1" si="2"/>
        <v>0</v>
      </c>
      <c r="L57" s="711">
        <f t="shared" si="3"/>
        <v>7</v>
      </c>
      <c r="M57" s="711">
        <f t="shared" ca="1" si="4"/>
        <v>0</v>
      </c>
      <c r="N57" s="710">
        <f t="shared" ca="1" si="5"/>
        <v>0</v>
      </c>
      <c r="O57" s="711">
        <f t="shared" si="6"/>
        <v>3</v>
      </c>
      <c r="P57" s="711">
        <f t="shared" ca="1" si="7"/>
        <v>0</v>
      </c>
      <c r="Q57" s="710">
        <f t="shared" ca="1" si="8"/>
        <v>0</v>
      </c>
      <c r="R57" s="711">
        <f t="shared" si="9"/>
        <v>3</v>
      </c>
      <c r="S57" s="711">
        <f t="shared" ca="1" si="10"/>
        <v>0</v>
      </c>
      <c r="T57" s="710">
        <f t="shared" ca="1" si="11"/>
        <v>0</v>
      </c>
      <c r="U57" s="711">
        <f t="shared" si="12"/>
        <v>1</v>
      </c>
      <c r="V57" s="711">
        <f t="shared" ca="1" si="13"/>
        <v>0</v>
      </c>
    </row>
    <row r="58" spans="1:22" x14ac:dyDescent="0.25">
      <c r="A58" t="s">
        <v>181</v>
      </c>
      <c r="B58" s="615">
        <v>2</v>
      </c>
      <c r="C58" t="s">
        <v>1829</v>
      </c>
      <c r="D58" t="s">
        <v>1849</v>
      </c>
      <c r="E58" s="615">
        <f ca="1">VLOOKUP(A58,Data!C:I,7,FALSE)</f>
        <v>0</v>
      </c>
      <c r="F58" s="709" t="str">
        <f t="shared" si="0"/>
        <v>PR.MA-22</v>
      </c>
      <c r="G58" s="709" t="str">
        <f t="shared" ca="1" si="1"/>
        <v>PR.MA-220</v>
      </c>
      <c r="I58" s="24"/>
      <c r="J58" s="24" t="s">
        <v>1875</v>
      </c>
      <c r="K58" s="710">
        <f t="shared" ca="1" si="2"/>
        <v>0</v>
      </c>
      <c r="L58" s="711">
        <f t="shared" si="3"/>
        <v>5</v>
      </c>
      <c r="M58" s="711">
        <f t="shared" ca="1" si="4"/>
        <v>0</v>
      </c>
      <c r="N58" s="710">
        <f t="shared" ca="1" si="5"/>
        <v>0</v>
      </c>
      <c r="O58" s="711">
        <f t="shared" si="6"/>
        <v>2</v>
      </c>
      <c r="P58" s="711">
        <f t="shared" ca="1" si="7"/>
        <v>0</v>
      </c>
      <c r="Q58" s="710">
        <f t="shared" ca="1" si="8"/>
        <v>0</v>
      </c>
      <c r="R58" s="711">
        <f t="shared" si="9"/>
        <v>3</v>
      </c>
      <c r="S58" s="711">
        <f t="shared" ca="1" si="10"/>
        <v>0</v>
      </c>
      <c r="T58" s="710">
        <f t="shared" si="11"/>
        <v>0</v>
      </c>
      <c r="U58" s="711">
        <f t="shared" si="12"/>
        <v>0</v>
      </c>
      <c r="V58" s="711">
        <f t="shared" ca="1" si="13"/>
        <v>0</v>
      </c>
    </row>
    <row r="59" spans="1:22" x14ac:dyDescent="0.25">
      <c r="A59" t="s">
        <v>181</v>
      </c>
      <c r="B59" s="615">
        <v>2</v>
      </c>
      <c r="C59" t="s">
        <v>1829</v>
      </c>
      <c r="D59" t="s">
        <v>1848</v>
      </c>
      <c r="E59" s="615">
        <f ca="1">VLOOKUP(A59,Data!C:I,7,FALSE)</f>
        <v>0</v>
      </c>
      <c r="F59" s="709" t="str">
        <f t="shared" si="0"/>
        <v>PR.PT-32</v>
      </c>
      <c r="G59" s="709" t="str">
        <f t="shared" ca="1" si="1"/>
        <v>PR.PT-320</v>
      </c>
      <c r="I59" s="24"/>
      <c r="J59" s="24" t="s">
        <v>1868</v>
      </c>
      <c r="K59" s="710">
        <f t="shared" ca="1" si="2"/>
        <v>0</v>
      </c>
      <c r="L59" s="711">
        <f t="shared" si="3"/>
        <v>11</v>
      </c>
      <c r="M59" s="711">
        <f t="shared" ca="1" si="4"/>
        <v>0</v>
      </c>
      <c r="N59" s="710">
        <f t="shared" ca="1" si="5"/>
        <v>0</v>
      </c>
      <c r="O59" s="711">
        <f t="shared" si="6"/>
        <v>2</v>
      </c>
      <c r="P59" s="711">
        <f t="shared" ca="1" si="7"/>
        <v>0</v>
      </c>
      <c r="Q59" s="710">
        <f t="shared" ca="1" si="8"/>
        <v>0</v>
      </c>
      <c r="R59" s="711">
        <f t="shared" si="9"/>
        <v>4</v>
      </c>
      <c r="S59" s="711">
        <f t="shared" ca="1" si="10"/>
        <v>0</v>
      </c>
      <c r="T59" s="710">
        <f t="shared" ca="1" si="11"/>
        <v>0</v>
      </c>
      <c r="U59" s="711">
        <f t="shared" si="12"/>
        <v>5</v>
      </c>
      <c r="V59" s="711">
        <f t="shared" ca="1" si="13"/>
        <v>0</v>
      </c>
    </row>
    <row r="60" spans="1:22" x14ac:dyDescent="0.25">
      <c r="A60" t="s">
        <v>182</v>
      </c>
      <c r="B60" s="615">
        <v>2</v>
      </c>
      <c r="C60" t="s">
        <v>1830</v>
      </c>
      <c r="D60" t="s">
        <v>1855</v>
      </c>
      <c r="E60" s="615">
        <f ca="1">VLOOKUP(A60,Data!C:I,7,FALSE)</f>
        <v>0</v>
      </c>
      <c r="F60" s="709" t="str">
        <f t="shared" si="0"/>
        <v>DE.CM-22</v>
      </c>
      <c r="G60" s="709" t="str">
        <f t="shared" ca="1" si="1"/>
        <v>DE.CM-220</v>
      </c>
      <c r="I60" s="24"/>
      <c r="J60" s="24" t="s">
        <v>1862</v>
      </c>
      <c r="K60" s="710">
        <f t="shared" ca="1" si="2"/>
        <v>0</v>
      </c>
      <c r="L60" s="711">
        <f t="shared" si="3"/>
        <v>8</v>
      </c>
      <c r="M60" s="711">
        <f t="shared" ca="1" si="4"/>
        <v>0</v>
      </c>
      <c r="N60" s="710">
        <f t="shared" ca="1" si="5"/>
        <v>0</v>
      </c>
      <c r="O60" s="711">
        <f t="shared" si="6"/>
        <v>3</v>
      </c>
      <c r="P60" s="711">
        <f t="shared" ca="1" si="7"/>
        <v>0</v>
      </c>
      <c r="Q60" s="710">
        <f t="shared" ca="1" si="8"/>
        <v>0</v>
      </c>
      <c r="R60" s="711">
        <f t="shared" si="9"/>
        <v>3</v>
      </c>
      <c r="S60" s="711">
        <f t="shared" ca="1" si="10"/>
        <v>0</v>
      </c>
      <c r="T60" s="710">
        <f t="shared" ca="1" si="11"/>
        <v>0</v>
      </c>
      <c r="U60" s="711">
        <f t="shared" si="12"/>
        <v>2</v>
      </c>
      <c r="V60" s="711">
        <f t="shared" ca="1" si="13"/>
        <v>0</v>
      </c>
    </row>
    <row r="61" spans="1:22" x14ac:dyDescent="0.25">
      <c r="A61" t="s">
        <v>182</v>
      </c>
      <c r="B61" s="615">
        <v>2</v>
      </c>
      <c r="C61" t="s">
        <v>1830</v>
      </c>
      <c r="D61" t="s">
        <v>1851</v>
      </c>
      <c r="E61" s="615">
        <f ca="1">VLOOKUP(A61,Data!C:I,7,FALSE)</f>
        <v>0</v>
      </c>
      <c r="F61" s="709" t="str">
        <f t="shared" si="0"/>
        <v>DE.CM-32</v>
      </c>
      <c r="G61" s="709" t="str">
        <f t="shared" ca="1" si="1"/>
        <v>DE.CM-320</v>
      </c>
      <c r="I61" s="24"/>
      <c r="J61" s="24" t="s">
        <v>1863</v>
      </c>
      <c r="K61" s="710">
        <f t="shared" ca="1" si="2"/>
        <v>0</v>
      </c>
      <c r="L61" s="711">
        <f t="shared" si="3"/>
        <v>11</v>
      </c>
      <c r="M61" s="711">
        <f t="shared" ca="1" si="4"/>
        <v>0</v>
      </c>
      <c r="N61" s="710">
        <f t="shared" ca="1" si="5"/>
        <v>0</v>
      </c>
      <c r="O61" s="711">
        <f t="shared" si="6"/>
        <v>3</v>
      </c>
      <c r="P61" s="711">
        <f t="shared" ca="1" si="7"/>
        <v>0</v>
      </c>
      <c r="Q61" s="710">
        <f t="shared" ca="1" si="8"/>
        <v>0</v>
      </c>
      <c r="R61" s="711">
        <f t="shared" si="9"/>
        <v>7</v>
      </c>
      <c r="S61" s="711">
        <f t="shared" ca="1" si="10"/>
        <v>0</v>
      </c>
      <c r="T61" s="710">
        <f t="shared" ca="1" si="11"/>
        <v>0</v>
      </c>
      <c r="U61" s="711">
        <f t="shared" si="12"/>
        <v>1</v>
      </c>
      <c r="V61" s="711">
        <f t="shared" ca="1" si="13"/>
        <v>0</v>
      </c>
    </row>
    <row r="62" spans="1:22" x14ac:dyDescent="0.25">
      <c r="A62" t="s">
        <v>182</v>
      </c>
      <c r="B62" s="615">
        <v>2</v>
      </c>
      <c r="C62" t="s">
        <v>1830</v>
      </c>
      <c r="D62" t="s">
        <v>1852</v>
      </c>
      <c r="E62" s="615">
        <f ca="1">VLOOKUP(A62,Data!C:I,7,FALSE)</f>
        <v>0</v>
      </c>
      <c r="F62" s="709" t="str">
        <f t="shared" si="0"/>
        <v>DE.CM-62</v>
      </c>
      <c r="G62" s="709" t="str">
        <f t="shared" ca="1" si="1"/>
        <v>DE.CM-620</v>
      </c>
      <c r="I62" s="24"/>
      <c r="J62" s="24" t="s">
        <v>1866</v>
      </c>
      <c r="K62" s="710">
        <f t="shared" ca="1" si="2"/>
        <v>0</v>
      </c>
      <c r="L62" s="711">
        <f t="shared" si="3"/>
        <v>7</v>
      </c>
      <c r="M62" s="711">
        <f t="shared" ca="1" si="4"/>
        <v>0</v>
      </c>
      <c r="N62" s="710">
        <f t="shared" si="5"/>
        <v>0</v>
      </c>
      <c r="O62" s="711">
        <f t="shared" si="6"/>
        <v>0</v>
      </c>
      <c r="P62" s="711">
        <f t="shared" ca="1" si="7"/>
        <v>0</v>
      </c>
      <c r="Q62" s="710">
        <f t="shared" ca="1" si="8"/>
        <v>0</v>
      </c>
      <c r="R62" s="711">
        <f t="shared" si="9"/>
        <v>3</v>
      </c>
      <c r="S62" s="711">
        <f t="shared" ca="1" si="10"/>
        <v>0</v>
      </c>
      <c r="T62" s="710">
        <f t="shared" ca="1" si="11"/>
        <v>0</v>
      </c>
      <c r="U62" s="711">
        <f t="shared" si="12"/>
        <v>4</v>
      </c>
      <c r="V62" s="711">
        <f t="shared" ca="1" si="13"/>
        <v>0</v>
      </c>
    </row>
    <row r="63" spans="1:22" x14ac:dyDescent="0.25">
      <c r="A63" t="s">
        <v>182</v>
      </c>
      <c r="B63" s="615">
        <v>2</v>
      </c>
      <c r="C63" t="s">
        <v>1830</v>
      </c>
      <c r="D63" t="s">
        <v>1853</v>
      </c>
      <c r="E63" s="615">
        <f ca="1">VLOOKUP(A63,Data!C:I,7,FALSE)</f>
        <v>0</v>
      </c>
      <c r="F63" s="709" t="str">
        <f t="shared" si="0"/>
        <v>DE.CM-72</v>
      </c>
      <c r="G63" s="709" t="str">
        <f t="shared" ca="1" si="1"/>
        <v>DE.CM-720</v>
      </c>
      <c r="I63" s="24"/>
      <c r="J63" s="24" t="s">
        <v>1870</v>
      </c>
      <c r="K63" s="710">
        <f t="shared" ca="1" si="2"/>
        <v>0</v>
      </c>
      <c r="L63" s="711">
        <f t="shared" si="3"/>
        <v>4</v>
      </c>
      <c r="M63" s="711">
        <f t="shared" ca="1" si="4"/>
        <v>0</v>
      </c>
      <c r="N63" s="710">
        <f t="shared" si="5"/>
        <v>0</v>
      </c>
      <c r="O63" s="711">
        <f t="shared" si="6"/>
        <v>0</v>
      </c>
      <c r="P63" s="711">
        <f t="shared" ca="1" si="7"/>
        <v>0</v>
      </c>
      <c r="Q63" s="710">
        <f t="shared" ca="1" si="8"/>
        <v>0</v>
      </c>
      <c r="R63" s="711">
        <f t="shared" si="9"/>
        <v>2</v>
      </c>
      <c r="S63" s="711">
        <f t="shared" ca="1" si="10"/>
        <v>0</v>
      </c>
      <c r="T63" s="710">
        <f t="shared" ca="1" si="11"/>
        <v>0</v>
      </c>
      <c r="U63" s="711">
        <f t="shared" si="12"/>
        <v>2</v>
      </c>
      <c r="V63" s="711">
        <f t="shared" ca="1" si="13"/>
        <v>0</v>
      </c>
    </row>
    <row r="64" spans="1:22" x14ac:dyDescent="0.25">
      <c r="A64" t="s">
        <v>182</v>
      </c>
      <c r="B64" s="615">
        <v>2</v>
      </c>
      <c r="C64" t="s">
        <v>1829</v>
      </c>
      <c r="D64" t="s">
        <v>1854</v>
      </c>
      <c r="E64" s="615">
        <f ca="1">VLOOKUP(A64,Data!C:I,7,FALSE)</f>
        <v>0</v>
      </c>
      <c r="F64" s="709" t="str">
        <f t="shared" si="0"/>
        <v>PR.AC-22</v>
      </c>
      <c r="G64" s="709" t="str">
        <f t="shared" ca="1" si="1"/>
        <v>PR.AC-220</v>
      </c>
      <c r="I64" s="24"/>
      <c r="J64" s="24" t="s">
        <v>1867</v>
      </c>
      <c r="K64" s="710">
        <f t="shared" ca="1" si="2"/>
        <v>0</v>
      </c>
      <c r="L64" s="711">
        <f t="shared" si="3"/>
        <v>7</v>
      </c>
      <c r="M64" s="711">
        <f t="shared" ca="1" si="4"/>
        <v>0</v>
      </c>
      <c r="N64" s="710">
        <f t="shared" ca="1" si="5"/>
        <v>0</v>
      </c>
      <c r="O64" s="711">
        <f t="shared" si="6"/>
        <v>1</v>
      </c>
      <c r="P64" s="711">
        <f t="shared" ca="1" si="7"/>
        <v>0</v>
      </c>
      <c r="Q64" s="710">
        <f t="shared" ca="1" si="8"/>
        <v>0</v>
      </c>
      <c r="R64" s="711">
        <f t="shared" si="9"/>
        <v>2</v>
      </c>
      <c r="S64" s="711">
        <f t="shared" ca="1" si="10"/>
        <v>0</v>
      </c>
      <c r="T64" s="710">
        <f t="shared" ca="1" si="11"/>
        <v>0</v>
      </c>
      <c r="U64" s="711">
        <f t="shared" si="12"/>
        <v>4</v>
      </c>
      <c r="V64" s="711">
        <f t="shared" ca="1" si="13"/>
        <v>0</v>
      </c>
    </row>
    <row r="65" spans="1:22" x14ac:dyDescent="0.25">
      <c r="A65" t="s">
        <v>182</v>
      </c>
      <c r="B65" s="615">
        <v>2</v>
      </c>
      <c r="C65" t="s">
        <v>1829</v>
      </c>
      <c r="D65" t="s">
        <v>1849</v>
      </c>
      <c r="E65" s="615">
        <f ca="1">VLOOKUP(A65,Data!C:I,7,FALSE)</f>
        <v>0</v>
      </c>
      <c r="F65" s="709" t="str">
        <f t="shared" si="0"/>
        <v>PR.MA-22</v>
      </c>
      <c r="G65" s="709" t="str">
        <f t="shared" ca="1" si="1"/>
        <v>PR.MA-220</v>
      </c>
      <c r="I65" s="24" t="s">
        <v>2100</v>
      </c>
      <c r="J65" s="24" t="s">
        <v>1883</v>
      </c>
      <c r="K65" s="710">
        <f t="shared" ca="1" si="2"/>
        <v>0</v>
      </c>
      <c r="L65" s="711">
        <f t="shared" si="3"/>
        <v>5</v>
      </c>
      <c r="M65" s="711">
        <f t="shared" ca="1" si="4"/>
        <v>0</v>
      </c>
      <c r="N65" s="710">
        <f t="shared" ca="1" si="5"/>
        <v>0</v>
      </c>
      <c r="O65" s="711">
        <f t="shared" si="6"/>
        <v>1</v>
      </c>
      <c r="P65" s="711">
        <f t="shared" ca="1" si="7"/>
        <v>0</v>
      </c>
      <c r="Q65" s="710">
        <f t="shared" ca="1" si="8"/>
        <v>0</v>
      </c>
      <c r="R65" s="711">
        <f t="shared" si="9"/>
        <v>1</v>
      </c>
      <c r="S65" s="711">
        <f t="shared" ca="1" si="10"/>
        <v>0</v>
      </c>
      <c r="T65" s="710">
        <f t="shared" ca="1" si="11"/>
        <v>0</v>
      </c>
      <c r="U65" s="711">
        <f t="shared" si="12"/>
        <v>3</v>
      </c>
      <c r="V65" s="711">
        <f t="shared" ca="1" si="13"/>
        <v>0</v>
      </c>
    </row>
    <row r="66" spans="1:22" x14ac:dyDescent="0.25">
      <c r="A66" t="s">
        <v>182</v>
      </c>
      <c r="B66" s="615">
        <v>2</v>
      </c>
      <c r="C66" t="s">
        <v>1829</v>
      </c>
      <c r="D66" t="s">
        <v>1848</v>
      </c>
      <c r="E66" s="615">
        <f ca="1">VLOOKUP(A66,Data!C:I,7,FALSE)</f>
        <v>0</v>
      </c>
      <c r="F66" s="709" t="str">
        <f t="shared" si="0"/>
        <v>PR.PT-32</v>
      </c>
      <c r="G66" s="709" t="str">
        <f t="shared" ca="1" si="1"/>
        <v>PR.PT-320</v>
      </c>
      <c r="I66" s="24"/>
      <c r="J66" s="24" t="s">
        <v>1885</v>
      </c>
      <c r="K66" s="710">
        <f t="shared" ca="1" si="2"/>
        <v>0</v>
      </c>
      <c r="L66" s="711">
        <f t="shared" si="3"/>
        <v>1</v>
      </c>
      <c r="M66" s="711">
        <f t="shared" ca="1" si="4"/>
        <v>0</v>
      </c>
      <c r="N66" s="710">
        <f t="shared" si="5"/>
        <v>0</v>
      </c>
      <c r="O66" s="711">
        <f t="shared" si="6"/>
        <v>0</v>
      </c>
      <c r="P66" s="711">
        <f t="shared" ca="1" si="7"/>
        <v>0</v>
      </c>
      <c r="Q66" s="710">
        <f t="shared" ca="1" si="8"/>
        <v>0</v>
      </c>
      <c r="R66" s="711">
        <f t="shared" si="9"/>
        <v>1</v>
      </c>
      <c r="S66" s="711">
        <f t="shared" ca="1" si="10"/>
        <v>0</v>
      </c>
      <c r="T66" s="710">
        <f t="shared" si="11"/>
        <v>0</v>
      </c>
      <c r="U66" s="711">
        <f t="shared" si="12"/>
        <v>0</v>
      </c>
      <c r="V66" s="711">
        <f t="shared" ca="1" si="13"/>
        <v>0</v>
      </c>
    </row>
    <row r="67" spans="1:22" x14ac:dyDescent="0.25">
      <c r="A67" t="s">
        <v>1051</v>
      </c>
      <c r="B67" s="615">
        <v>3</v>
      </c>
      <c r="C67" t="s">
        <v>1829</v>
      </c>
      <c r="D67" t="s">
        <v>1854</v>
      </c>
      <c r="E67" s="615">
        <f ca="1">VLOOKUP(A67,Data!C:I,7,FALSE)</f>
        <v>0</v>
      </c>
      <c r="F67" s="709" t="str">
        <f t="shared" ref="F67:F130" si="14">CONCATENATE($D67,$B67)</f>
        <v>PR.AC-23</v>
      </c>
      <c r="G67" s="709" t="str">
        <f t="shared" ref="G67:G130" ca="1" si="15">_xlfn.IFNA(CONCATENATE(F67,$E67),CONCATENATE(F67,$E67,0))</f>
        <v>PR.AC-230</v>
      </c>
      <c r="I67" s="24"/>
      <c r="J67" s="24" t="s">
        <v>1872</v>
      </c>
      <c r="K67" s="710">
        <f t="shared" ca="1" si="2"/>
        <v>0</v>
      </c>
      <c r="L67" s="711">
        <f t="shared" si="3"/>
        <v>10</v>
      </c>
      <c r="M67" s="711">
        <f t="shared" ca="1" si="4"/>
        <v>0</v>
      </c>
      <c r="N67" s="710">
        <f t="shared" ca="1" si="5"/>
        <v>0</v>
      </c>
      <c r="O67" s="711">
        <f t="shared" si="6"/>
        <v>2</v>
      </c>
      <c r="P67" s="711">
        <f t="shared" ca="1" si="7"/>
        <v>0</v>
      </c>
      <c r="Q67" s="710">
        <f t="shared" ca="1" si="8"/>
        <v>0</v>
      </c>
      <c r="R67" s="711">
        <f t="shared" si="9"/>
        <v>4</v>
      </c>
      <c r="S67" s="711">
        <f t="shared" ca="1" si="10"/>
        <v>0</v>
      </c>
      <c r="T67" s="710">
        <f t="shared" ca="1" si="11"/>
        <v>0</v>
      </c>
      <c r="U67" s="711">
        <f t="shared" si="12"/>
        <v>4</v>
      </c>
      <c r="V67" s="711">
        <f t="shared" ca="1" si="13"/>
        <v>0</v>
      </c>
    </row>
    <row r="68" spans="1:22" x14ac:dyDescent="0.25">
      <c r="A68" t="s">
        <v>1051</v>
      </c>
      <c r="B68" s="615">
        <v>3</v>
      </c>
      <c r="C68" t="s">
        <v>1829</v>
      </c>
      <c r="D68" t="s">
        <v>1849</v>
      </c>
      <c r="E68" s="615">
        <f ca="1">VLOOKUP(A68,Data!C:I,7,FALSE)</f>
        <v>0</v>
      </c>
      <c r="F68" s="709" t="str">
        <f t="shared" si="14"/>
        <v>PR.MA-23</v>
      </c>
      <c r="G68" s="709" t="str">
        <f t="shared" ca="1" si="15"/>
        <v>PR.MA-230</v>
      </c>
      <c r="I68" s="24"/>
      <c r="J68" s="24" t="s">
        <v>1928</v>
      </c>
      <c r="K68" s="710">
        <f t="shared" ca="1" si="2"/>
        <v>0</v>
      </c>
      <c r="L68" s="711">
        <f t="shared" si="3"/>
        <v>5</v>
      </c>
      <c r="M68" s="711">
        <f t="shared" ca="1" si="4"/>
        <v>0</v>
      </c>
      <c r="N68" s="710">
        <f t="shared" ca="1" si="5"/>
        <v>0</v>
      </c>
      <c r="O68" s="711">
        <f t="shared" si="6"/>
        <v>1</v>
      </c>
      <c r="P68" s="711">
        <f t="shared" ca="1" si="7"/>
        <v>0</v>
      </c>
      <c r="Q68" s="710">
        <f t="shared" ca="1" si="8"/>
        <v>0</v>
      </c>
      <c r="R68" s="711">
        <f t="shared" si="9"/>
        <v>4</v>
      </c>
      <c r="S68" s="711">
        <f t="shared" ca="1" si="10"/>
        <v>0</v>
      </c>
      <c r="T68" s="710">
        <f t="shared" si="11"/>
        <v>0</v>
      </c>
      <c r="U68" s="711">
        <f t="shared" si="12"/>
        <v>0</v>
      </c>
      <c r="V68" s="711">
        <f t="shared" ca="1" si="13"/>
        <v>0</v>
      </c>
    </row>
    <row r="69" spans="1:22" x14ac:dyDescent="0.25">
      <c r="A69" t="s">
        <v>1051</v>
      </c>
      <c r="B69" s="615">
        <v>3</v>
      </c>
      <c r="C69" t="s">
        <v>1829</v>
      </c>
      <c r="D69" t="s">
        <v>1848</v>
      </c>
      <c r="E69" s="615">
        <f ca="1">VLOOKUP(A69,Data!C:I,7,FALSE)</f>
        <v>0</v>
      </c>
      <c r="F69" s="709" t="str">
        <f t="shared" si="14"/>
        <v>PR.PT-33</v>
      </c>
      <c r="G69" s="709" t="str">
        <f t="shared" ca="1" si="15"/>
        <v>PR.PT-330</v>
      </c>
      <c r="I69" s="24"/>
      <c r="J69" s="24" t="s">
        <v>1886</v>
      </c>
      <c r="K69" s="710">
        <f t="shared" ca="1" si="2"/>
        <v>0</v>
      </c>
      <c r="L69" s="711">
        <f t="shared" si="3"/>
        <v>1</v>
      </c>
      <c r="M69" s="711">
        <f t="shared" ca="1" si="4"/>
        <v>0</v>
      </c>
      <c r="N69" s="710">
        <f t="shared" si="5"/>
        <v>0</v>
      </c>
      <c r="O69" s="711">
        <f t="shared" si="6"/>
        <v>0</v>
      </c>
      <c r="P69" s="711">
        <f t="shared" ca="1" si="7"/>
        <v>0</v>
      </c>
      <c r="Q69" s="710">
        <f t="shared" si="8"/>
        <v>0</v>
      </c>
      <c r="R69" s="711">
        <f t="shared" si="9"/>
        <v>0</v>
      </c>
      <c r="S69" s="711">
        <f t="shared" ca="1" si="10"/>
        <v>0</v>
      </c>
      <c r="T69" s="710">
        <f t="shared" ca="1" si="11"/>
        <v>0</v>
      </c>
      <c r="U69" s="711">
        <f t="shared" si="12"/>
        <v>1</v>
      </c>
      <c r="V69" s="711">
        <f t="shared" ca="1" si="13"/>
        <v>0</v>
      </c>
    </row>
    <row r="70" spans="1:22" x14ac:dyDescent="0.25">
      <c r="A70" t="s">
        <v>1052</v>
      </c>
      <c r="B70" s="615">
        <v>3</v>
      </c>
      <c r="C70" t="s">
        <v>1830</v>
      </c>
      <c r="D70" t="s">
        <v>1855</v>
      </c>
      <c r="E70" s="615">
        <f ca="1">VLOOKUP(A70,Data!C:I,7,FALSE)</f>
        <v>0</v>
      </c>
      <c r="F70" s="709" t="str">
        <f t="shared" si="14"/>
        <v>DE.CM-23</v>
      </c>
      <c r="G70" s="709" t="str">
        <f t="shared" ca="1" si="15"/>
        <v>DE.CM-230</v>
      </c>
      <c r="I70" s="24"/>
      <c r="J70" s="24" t="s">
        <v>1881</v>
      </c>
      <c r="K70" s="710">
        <f t="shared" ca="1" si="2"/>
        <v>0</v>
      </c>
      <c r="L70" s="711">
        <f t="shared" si="3"/>
        <v>3</v>
      </c>
      <c r="M70" s="711">
        <f t="shared" ca="1" si="4"/>
        <v>0</v>
      </c>
      <c r="N70" s="710">
        <f t="shared" si="5"/>
        <v>0</v>
      </c>
      <c r="O70" s="711">
        <f t="shared" si="6"/>
        <v>0</v>
      </c>
      <c r="P70" s="711">
        <f t="shared" ca="1" si="7"/>
        <v>0</v>
      </c>
      <c r="Q70" s="710">
        <f t="shared" ca="1" si="8"/>
        <v>0</v>
      </c>
      <c r="R70" s="711">
        <f t="shared" si="9"/>
        <v>1</v>
      </c>
      <c r="S70" s="711">
        <f t="shared" ca="1" si="10"/>
        <v>0</v>
      </c>
      <c r="T70" s="710">
        <f t="shared" ca="1" si="11"/>
        <v>0</v>
      </c>
      <c r="U70" s="711">
        <f t="shared" si="12"/>
        <v>2</v>
      </c>
      <c r="V70" s="711">
        <f t="shared" ca="1" si="13"/>
        <v>0</v>
      </c>
    </row>
    <row r="71" spans="1:22" x14ac:dyDescent="0.25">
      <c r="A71" t="s">
        <v>1052</v>
      </c>
      <c r="B71" s="615">
        <v>3</v>
      </c>
      <c r="C71" t="s">
        <v>1830</v>
      </c>
      <c r="D71" t="s">
        <v>1851</v>
      </c>
      <c r="E71" s="615">
        <f ca="1">VLOOKUP(A71,Data!C:I,7,FALSE)</f>
        <v>0</v>
      </c>
      <c r="F71" s="709" t="str">
        <f t="shared" si="14"/>
        <v>DE.CM-33</v>
      </c>
      <c r="G71" s="709" t="str">
        <f t="shared" ca="1" si="15"/>
        <v>DE.CM-330</v>
      </c>
      <c r="I71" s="24"/>
      <c r="J71" s="24" t="s">
        <v>2109</v>
      </c>
      <c r="K71" s="710">
        <f t="shared" si="2"/>
        <v>0</v>
      </c>
      <c r="L71" s="711">
        <f t="shared" si="3"/>
        <v>0</v>
      </c>
      <c r="M71" s="711">
        <f t="shared" ca="1" si="4"/>
        <v>0</v>
      </c>
      <c r="N71" s="710">
        <f t="shared" si="5"/>
        <v>0</v>
      </c>
      <c r="O71" s="711">
        <f t="shared" si="6"/>
        <v>0</v>
      </c>
      <c r="P71" s="711">
        <f t="shared" ca="1" si="7"/>
        <v>0</v>
      </c>
      <c r="Q71" s="710">
        <f t="shared" si="8"/>
        <v>0</v>
      </c>
      <c r="R71" s="711">
        <f t="shared" si="9"/>
        <v>0</v>
      </c>
      <c r="S71" s="711">
        <f t="shared" ca="1" si="10"/>
        <v>0</v>
      </c>
      <c r="T71" s="710">
        <f t="shared" si="11"/>
        <v>0</v>
      </c>
      <c r="U71" s="711">
        <f t="shared" si="12"/>
        <v>0</v>
      </c>
      <c r="V71" s="711">
        <f t="shared" ca="1" si="13"/>
        <v>0</v>
      </c>
    </row>
    <row r="72" spans="1:22" x14ac:dyDescent="0.25">
      <c r="A72" t="s">
        <v>1052</v>
      </c>
      <c r="B72" s="615">
        <v>3</v>
      </c>
      <c r="C72" t="s">
        <v>1830</v>
      </c>
      <c r="D72" t="s">
        <v>1852</v>
      </c>
      <c r="E72" s="615">
        <f ca="1">VLOOKUP(A72,Data!C:I,7,FALSE)</f>
        <v>0</v>
      </c>
      <c r="F72" s="709" t="str">
        <f t="shared" si="14"/>
        <v>DE.CM-63</v>
      </c>
      <c r="G72" s="709" t="str">
        <f t="shared" ca="1" si="15"/>
        <v>DE.CM-630</v>
      </c>
      <c r="I72" s="24"/>
      <c r="J72" s="24" t="s">
        <v>1859</v>
      </c>
      <c r="K72" s="710">
        <f t="shared" ca="1" si="2"/>
        <v>0</v>
      </c>
      <c r="L72" s="711">
        <f t="shared" si="3"/>
        <v>13</v>
      </c>
      <c r="M72" s="711">
        <f t="shared" ca="1" si="4"/>
        <v>0</v>
      </c>
      <c r="N72" s="710">
        <f t="shared" ca="1" si="5"/>
        <v>0</v>
      </c>
      <c r="O72" s="711">
        <f t="shared" si="6"/>
        <v>1</v>
      </c>
      <c r="P72" s="711">
        <f t="shared" ca="1" si="7"/>
        <v>0</v>
      </c>
      <c r="Q72" s="710">
        <f t="shared" ca="1" si="8"/>
        <v>0</v>
      </c>
      <c r="R72" s="711">
        <f t="shared" si="9"/>
        <v>1</v>
      </c>
      <c r="S72" s="711">
        <f t="shared" ca="1" si="10"/>
        <v>0</v>
      </c>
      <c r="T72" s="710">
        <f t="shared" ca="1" si="11"/>
        <v>0</v>
      </c>
      <c r="U72" s="711">
        <f t="shared" si="12"/>
        <v>11</v>
      </c>
      <c r="V72" s="711">
        <f t="shared" ca="1" si="13"/>
        <v>0</v>
      </c>
    </row>
    <row r="73" spans="1:22" x14ac:dyDescent="0.25">
      <c r="A73" t="s">
        <v>1052</v>
      </c>
      <c r="B73" s="615">
        <v>3</v>
      </c>
      <c r="C73" t="s">
        <v>1830</v>
      </c>
      <c r="D73" t="s">
        <v>1853</v>
      </c>
      <c r="E73" s="615">
        <f ca="1">VLOOKUP(A73,Data!C:I,7,FALSE)</f>
        <v>0</v>
      </c>
      <c r="F73" s="709" t="str">
        <f t="shared" si="14"/>
        <v>DE.CM-73</v>
      </c>
      <c r="G73" s="709" t="str">
        <f t="shared" ca="1" si="15"/>
        <v>DE.CM-730</v>
      </c>
      <c r="I73" s="24"/>
      <c r="J73" s="24" t="s">
        <v>1897</v>
      </c>
      <c r="K73" s="710">
        <f t="shared" ca="1" si="2"/>
        <v>0</v>
      </c>
      <c r="L73" s="711">
        <f t="shared" si="3"/>
        <v>37</v>
      </c>
      <c r="M73" s="711">
        <f t="shared" ca="1" si="4"/>
        <v>0</v>
      </c>
      <c r="N73" s="710">
        <f t="shared" ca="1" si="5"/>
        <v>0</v>
      </c>
      <c r="O73" s="711">
        <f t="shared" si="6"/>
        <v>8</v>
      </c>
      <c r="P73" s="711">
        <f t="shared" ca="1" si="7"/>
        <v>0</v>
      </c>
      <c r="Q73" s="710">
        <f t="shared" ca="1" si="8"/>
        <v>0</v>
      </c>
      <c r="R73" s="711">
        <f t="shared" si="9"/>
        <v>15</v>
      </c>
      <c r="S73" s="711">
        <f t="shared" ca="1" si="10"/>
        <v>0</v>
      </c>
      <c r="T73" s="710">
        <f t="shared" ca="1" si="11"/>
        <v>0</v>
      </c>
      <c r="U73" s="711">
        <f t="shared" si="12"/>
        <v>14</v>
      </c>
      <c r="V73" s="711">
        <f t="shared" ca="1" si="13"/>
        <v>0</v>
      </c>
    </row>
    <row r="74" spans="1:22" x14ac:dyDescent="0.25">
      <c r="A74" t="s">
        <v>1052</v>
      </c>
      <c r="B74" s="615">
        <v>3</v>
      </c>
      <c r="C74" t="s">
        <v>1829</v>
      </c>
      <c r="D74" t="s">
        <v>1848</v>
      </c>
      <c r="E74" s="615">
        <f ca="1">VLOOKUP(A74,Data!C:I,7,FALSE)</f>
        <v>0</v>
      </c>
      <c r="F74" s="709" t="str">
        <f t="shared" si="14"/>
        <v>PR.PT-33</v>
      </c>
      <c r="G74" s="709" t="str">
        <f t="shared" ca="1" si="15"/>
        <v>PR.PT-330</v>
      </c>
      <c r="I74" s="24"/>
      <c r="J74" s="24" t="s">
        <v>1922</v>
      </c>
      <c r="K74" s="710">
        <f t="shared" ca="1" si="2"/>
        <v>0</v>
      </c>
      <c r="L74" s="711">
        <f t="shared" si="3"/>
        <v>6</v>
      </c>
      <c r="M74" s="711">
        <f t="shared" ca="1" si="4"/>
        <v>0</v>
      </c>
      <c r="N74" s="710">
        <f t="shared" si="5"/>
        <v>0</v>
      </c>
      <c r="O74" s="711">
        <f t="shared" si="6"/>
        <v>0</v>
      </c>
      <c r="P74" s="711">
        <f t="shared" ca="1" si="7"/>
        <v>0</v>
      </c>
      <c r="Q74" s="710">
        <f t="shared" ca="1" si="8"/>
        <v>0</v>
      </c>
      <c r="R74" s="711">
        <f t="shared" si="9"/>
        <v>2</v>
      </c>
      <c r="S74" s="711">
        <f t="shared" ca="1" si="10"/>
        <v>0</v>
      </c>
      <c r="T74" s="710">
        <f t="shared" ca="1" si="11"/>
        <v>0</v>
      </c>
      <c r="U74" s="711">
        <f t="shared" si="12"/>
        <v>4</v>
      </c>
      <c r="V74" s="711">
        <f t="shared" ca="1" si="13"/>
        <v>0</v>
      </c>
    </row>
    <row r="75" spans="1:22" x14ac:dyDescent="0.25">
      <c r="A75" t="s">
        <v>1053</v>
      </c>
      <c r="B75" s="615">
        <v>2</v>
      </c>
      <c r="C75" t="s">
        <v>1829</v>
      </c>
      <c r="D75" t="s">
        <v>1843</v>
      </c>
      <c r="E75" s="615">
        <f ca="1">VLOOKUP(A75,Data!C:I,7,FALSE)</f>
        <v>0</v>
      </c>
      <c r="F75" s="709" t="str">
        <f t="shared" si="14"/>
        <v>PR.AC-12</v>
      </c>
      <c r="G75" s="709" t="str">
        <f t="shared" ca="1" si="15"/>
        <v>PR.AC-120</v>
      </c>
      <c r="I75" s="24"/>
      <c r="J75" s="24" t="s">
        <v>1946</v>
      </c>
      <c r="K75" s="710">
        <f t="shared" ca="1" si="2"/>
        <v>0</v>
      </c>
      <c r="L75" s="711">
        <f t="shared" si="3"/>
        <v>8</v>
      </c>
      <c r="M75" s="711">
        <f t="shared" ca="1" si="4"/>
        <v>0</v>
      </c>
      <c r="N75" s="710">
        <f t="shared" ca="1" si="5"/>
        <v>0</v>
      </c>
      <c r="O75" s="711">
        <f t="shared" si="6"/>
        <v>2</v>
      </c>
      <c r="P75" s="711">
        <f t="shared" ca="1" si="7"/>
        <v>0</v>
      </c>
      <c r="Q75" s="710">
        <f t="shared" ca="1" si="8"/>
        <v>0</v>
      </c>
      <c r="R75" s="711">
        <f t="shared" si="9"/>
        <v>3</v>
      </c>
      <c r="S75" s="711">
        <f t="shared" ca="1" si="10"/>
        <v>0</v>
      </c>
      <c r="T75" s="710">
        <f t="shared" ca="1" si="11"/>
        <v>0</v>
      </c>
      <c r="U75" s="711">
        <f t="shared" si="12"/>
        <v>3</v>
      </c>
      <c r="V75" s="711">
        <f t="shared" ca="1" si="13"/>
        <v>0</v>
      </c>
    </row>
    <row r="76" spans="1:22" x14ac:dyDescent="0.25">
      <c r="A76" t="s">
        <v>1053</v>
      </c>
      <c r="B76" s="615">
        <v>2</v>
      </c>
      <c r="C76" t="s">
        <v>1829</v>
      </c>
      <c r="D76" t="s">
        <v>1854</v>
      </c>
      <c r="E76" s="615">
        <f ca="1">VLOOKUP(A76,Data!C:I,7,FALSE)</f>
        <v>0</v>
      </c>
      <c r="F76" s="709" t="str">
        <f t="shared" si="14"/>
        <v>PR.AC-22</v>
      </c>
      <c r="G76" s="709" t="str">
        <f t="shared" ca="1" si="15"/>
        <v>PR.AC-220</v>
      </c>
      <c r="I76" s="24"/>
      <c r="J76" s="24" t="s">
        <v>1942</v>
      </c>
      <c r="K76" s="710">
        <f t="shared" ca="1" si="2"/>
        <v>0</v>
      </c>
      <c r="L76" s="711">
        <f t="shared" si="3"/>
        <v>4</v>
      </c>
      <c r="M76" s="711">
        <f t="shared" ca="1" si="4"/>
        <v>0</v>
      </c>
      <c r="N76" s="710">
        <f t="shared" si="5"/>
        <v>0</v>
      </c>
      <c r="O76" s="711">
        <f t="shared" si="6"/>
        <v>0</v>
      </c>
      <c r="P76" s="711">
        <f t="shared" ca="1" si="7"/>
        <v>0</v>
      </c>
      <c r="Q76" s="710">
        <f t="shared" ca="1" si="8"/>
        <v>0</v>
      </c>
      <c r="R76" s="711">
        <f t="shared" si="9"/>
        <v>2</v>
      </c>
      <c r="S76" s="711">
        <f t="shared" ca="1" si="10"/>
        <v>0</v>
      </c>
      <c r="T76" s="710">
        <f t="shared" ca="1" si="11"/>
        <v>0</v>
      </c>
      <c r="U76" s="711">
        <f t="shared" si="12"/>
        <v>2</v>
      </c>
      <c r="V76" s="711">
        <f t="shared" ca="1" si="13"/>
        <v>0</v>
      </c>
    </row>
    <row r="77" spans="1:22" x14ac:dyDescent="0.25">
      <c r="A77" t="s">
        <v>1053</v>
      </c>
      <c r="B77" s="615">
        <v>2</v>
      </c>
      <c r="C77" t="s">
        <v>1829</v>
      </c>
      <c r="D77" t="s">
        <v>1846</v>
      </c>
      <c r="E77" s="615">
        <f ca="1">VLOOKUP(A77,Data!C:I,7,FALSE)</f>
        <v>0</v>
      </c>
      <c r="F77" s="709" t="str">
        <f t="shared" si="14"/>
        <v>PR.AC-32</v>
      </c>
      <c r="G77" s="709" t="str">
        <f t="shared" ca="1" si="15"/>
        <v>PR.AC-320</v>
      </c>
      <c r="I77" s="24" t="s">
        <v>2116</v>
      </c>
      <c r="J77" s="24" t="s">
        <v>1884</v>
      </c>
      <c r="K77" s="710">
        <f t="shared" ca="1" si="2"/>
        <v>0</v>
      </c>
      <c r="L77" s="711">
        <f t="shared" si="3"/>
        <v>3</v>
      </c>
      <c r="M77" s="711">
        <f t="shared" ca="1" si="4"/>
        <v>0</v>
      </c>
      <c r="N77" s="710">
        <f t="shared" ca="1" si="5"/>
        <v>0</v>
      </c>
      <c r="O77" s="711">
        <f t="shared" si="6"/>
        <v>1</v>
      </c>
      <c r="P77" s="711">
        <f t="shared" ca="1" si="7"/>
        <v>0</v>
      </c>
      <c r="Q77" s="710">
        <f t="shared" ca="1" si="8"/>
        <v>0</v>
      </c>
      <c r="R77" s="711">
        <f t="shared" si="9"/>
        <v>1</v>
      </c>
      <c r="S77" s="711">
        <f t="shared" ca="1" si="10"/>
        <v>0</v>
      </c>
      <c r="T77" s="710">
        <f t="shared" ca="1" si="11"/>
        <v>0</v>
      </c>
      <c r="U77" s="711">
        <f t="shared" si="12"/>
        <v>1</v>
      </c>
      <c r="V77" s="711">
        <f t="shared" ca="1" si="13"/>
        <v>0</v>
      </c>
    </row>
    <row r="78" spans="1:22" x14ac:dyDescent="0.25">
      <c r="A78" t="s">
        <v>1053</v>
      </c>
      <c r="B78" s="615">
        <v>2</v>
      </c>
      <c r="C78" t="s">
        <v>1829</v>
      </c>
      <c r="D78" t="s">
        <v>1850</v>
      </c>
      <c r="E78" s="615">
        <f ca="1">VLOOKUP(A78,Data!C:I,7,FALSE)</f>
        <v>0</v>
      </c>
      <c r="F78" s="709" t="str">
        <f t="shared" si="14"/>
        <v>PR.AC-42</v>
      </c>
      <c r="G78" s="709" t="str">
        <f t="shared" ca="1" si="15"/>
        <v>PR.AC-420</v>
      </c>
      <c r="I78" s="24"/>
      <c r="J78" s="24" t="s">
        <v>1849</v>
      </c>
      <c r="K78" s="710">
        <f t="shared" ca="1" si="2"/>
        <v>0</v>
      </c>
      <c r="L78" s="711">
        <f t="shared" si="3"/>
        <v>12</v>
      </c>
      <c r="M78" s="711">
        <f t="shared" ca="1" si="4"/>
        <v>0</v>
      </c>
      <c r="N78" s="710">
        <f t="shared" ca="1" si="5"/>
        <v>0</v>
      </c>
      <c r="O78" s="711">
        <f t="shared" si="6"/>
        <v>2</v>
      </c>
      <c r="P78" s="711">
        <f t="shared" ca="1" si="7"/>
        <v>0</v>
      </c>
      <c r="Q78" s="710">
        <f t="shared" ca="1" si="8"/>
        <v>0</v>
      </c>
      <c r="R78" s="711">
        <f t="shared" si="9"/>
        <v>8</v>
      </c>
      <c r="S78" s="711">
        <f t="shared" ca="1" si="10"/>
        <v>0</v>
      </c>
      <c r="T78" s="710">
        <f t="shared" ca="1" si="11"/>
        <v>0</v>
      </c>
      <c r="U78" s="711">
        <f t="shared" si="12"/>
        <v>2</v>
      </c>
      <c r="V78" s="711">
        <f t="shared" ca="1" si="13"/>
        <v>0</v>
      </c>
    </row>
    <row r="79" spans="1:22" x14ac:dyDescent="0.25">
      <c r="A79" t="s">
        <v>1054</v>
      </c>
      <c r="B79" s="615">
        <v>2</v>
      </c>
      <c r="C79" t="s">
        <v>1829</v>
      </c>
      <c r="D79" t="s">
        <v>1843</v>
      </c>
      <c r="E79" s="615">
        <f ca="1">VLOOKUP(A79,Data!C:I,7,FALSE)</f>
        <v>0</v>
      </c>
      <c r="F79" s="709" t="str">
        <f t="shared" si="14"/>
        <v>PR.AC-12</v>
      </c>
      <c r="G79" s="709" t="str">
        <f t="shared" ca="1" si="15"/>
        <v>PR.AC-120</v>
      </c>
      <c r="I79" s="24" t="s">
        <v>2121</v>
      </c>
      <c r="J79" s="24" t="s">
        <v>1856</v>
      </c>
      <c r="K79" s="710">
        <f t="shared" ca="1" si="2"/>
        <v>0</v>
      </c>
      <c r="L79" s="711">
        <f t="shared" si="3"/>
        <v>11</v>
      </c>
      <c r="M79" s="711">
        <f t="shared" ca="1" si="4"/>
        <v>0</v>
      </c>
      <c r="N79" s="710">
        <f t="shared" ca="1" si="5"/>
        <v>0</v>
      </c>
      <c r="O79" s="711">
        <f t="shared" si="6"/>
        <v>2</v>
      </c>
      <c r="P79" s="711">
        <f t="shared" ca="1" si="7"/>
        <v>0</v>
      </c>
      <c r="Q79" s="710">
        <f t="shared" ca="1" si="8"/>
        <v>0</v>
      </c>
      <c r="R79" s="711">
        <f t="shared" si="9"/>
        <v>6</v>
      </c>
      <c r="S79" s="711">
        <f t="shared" ca="1" si="10"/>
        <v>0</v>
      </c>
      <c r="T79" s="710">
        <f t="shared" ca="1" si="11"/>
        <v>0</v>
      </c>
      <c r="U79" s="711">
        <f t="shared" si="12"/>
        <v>3</v>
      </c>
      <c r="V79" s="711">
        <f t="shared" ca="1" si="13"/>
        <v>0</v>
      </c>
    </row>
    <row r="80" spans="1:22" x14ac:dyDescent="0.25">
      <c r="A80" t="s">
        <v>1054</v>
      </c>
      <c r="B80" s="615">
        <v>2</v>
      </c>
      <c r="C80" t="s">
        <v>1829</v>
      </c>
      <c r="D80" t="s">
        <v>1854</v>
      </c>
      <c r="E80" s="615">
        <f ca="1">VLOOKUP(A80,Data!C:I,7,FALSE)</f>
        <v>0</v>
      </c>
      <c r="F80" s="709" t="str">
        <f t="shared" si="14"/>
        <v>PR.AC-22</v>
      </c>
      <c r="G80" s="709" t="str">
        <f t="shared" ca="1" si="15"/>
        <v>PR.AC-220</v>
      </c>
      <c r="I80" s="24"/>
      <c r="J80" s="24" t="s">
        <v>1847</v>
      </c>
      <c r="K80" s="710">
        <f t="shared" ca="1" si="2"/>
        <v>0</v>
      </c>
      <c r="L80" s="711">
        <f t="shared" si="3"/>
        <v>4</v>
      </c>
      <c r="M80" s="711">
        <f t="shared" ca="1" si="4"/>
        <v>0</v>
      </c>
      <c r="N80" s="710">
        <f t="shared" ca="1" si="5"/>
        <v>0</v>
      </c>
      <c r="O80" s="711">
        <f t="shared" si="6"/>
        <v>2</v>
      </c>
      <c r="P80" s="711">
        <f t="shared" ca="1" si="7"/>
        <v>0</v>
      </c>
      <c r="Q80" s="710">
        <f t="shared" ca="1" si="8"/>
        <v>0</v>
      </c>
      <c r="R80" s="711">
        <f t="shared" si="9"/>
        <v>2</v>
      </c>
      <c r="S80" s="711">
        <f t="shared" ca="1" si="10"/>
        <v>0</v>
      </c>
      <c r="T80" s="710">
        <f t="shared" si="11"/>
        <v>0</v>
      </c>
      <c r="U80" s="711">
        <f t="shared" si="12"/>
        <v>0</v>
      </c>
      <c r="V80" s="711">
        <f t="shared" ca="1" si="13"/>
        <v>0</v>
      </c>
    </row>
    <row r="81" spans="1:22" x14ac:dyDescent="0.25">
      <c r="A81" t="s">
        <v>1054</v>
      </c>
      <c r="B81" s="615">
        <v>2</v>
      </c>
      <c r="C81" t="s">
        <v>1829</v>
      </c>
      <c r="D81" t="s">
        <v>1846</v>
      </c>
      <c r="E81" s="615">
        <f ca="1">VLOOKUP(A81,Data!C:I,7,FALSE)</f>
        <v>0</v>
      </c>
      <c r="F81" s="709" t="str">
        <f t="shared" si="14"/>
        <v>PR.AC-32</v>
      </c>
      <c r="G81" s="709" t="str">
        <f t="shared" ca="1" si="15"/>
        <v>PR.AC-320</v>
      </c>
      <c r="I81" s="24"/>
      <c r="J81" s="24" t="s">
        <v>1848</v>
      </c>
      <c r="K81" s="710">
        <f t="shared" ref="K81:K123" ca="1" si="16">IF(L81=0,0,M81/L81)</f>
        <v>0</v>
      </c>
      <c r="L81" s="711">
        <f t="shared" ref="L81:L123" si="17">SUM(O81+R81+U81)</f>
        <v>16</v>
      </c>
      <c r="M81" s="711">
        <f t="shared" ref="M81:M123" ca="1" si="18">SUM(P81+S81+V81)</f>
        <v>0</v>
      </c>
      <c r="N81" s="710">
        <f t="shared" ref="N81:N123" ca="1" si="19">IF(O81=0,0,P81/O81)</f>
        <v>0</v>
      </c>
      <c r="O81" s="711">
        <f t="shared" ref="O81:O123" si="20">COUNTIF($F:$F,CONCATENATE($J81,N$15))</f>
        <v>2</v>
      </c>
      <c r="P81" s="711">
        <f t="shared" ref="P81:P123" ca="1" si="21">COUNTIF($G:$G,CONCATENATE($J81,N$15,1))</f>
        <v>0</v>
      </c>
      <c r="Q81" s="710">
        <f t="shared" ref="Q81:Q123" ca="1" si="22">IF(R81=0,0,S81/R81)</f>
        <v>0</v>
      </c>
      <c r="R81" s="711">
        <f t="shared" ref="R81:R123" si="23">COUNTIF($F:$F,CONCATENATE($J81,Q$15))</f>
        <v>9</v>
      </c>
      <c r="S81" s="711">
        <f t="shared" ref="S81:S123" ca="1" si="24">COUNTIF($G:$G,CONCATENATE($J81,Q$15,1))</f>
        <v>0</v>
      </c>
      <c r="T81" s="710">
        <f t="shared" ref="T81:T123" ca="1" si="25">IF(U81=0,0,V81/U81)</f>
        <v>0</v>
      </c>
      <c r="U81" s="711">
        <f t="shared" ref="U81:U123" si="26">COUNTIF($F:$F,CONCATENATE($J81,T$15))</f>
        <v>5</v>
      </c>
      <c r="V81" s="711">
        <f t="shared" ref="V81:V123" ca="1" si="27">COUNTIF($G:$G,CONCATENATE($J81,T$15,1))</f>
        <v>0</v>
      </c>
    </row>
    <row r="82" spans="1:22" x14ac:dyDescent="0.25">
      <c r="A82" t="s">
        <v>1054</v>
      </c>
      <c r="B82" s="615">
        <v>2</v>
      </c>
      <c r="C82" t="s">
        <v>1829</v>
      </c>
      <c r="D82" t="s">
        <v>1850</v>
      </c>
      <c r="E82" s="615">
        <f ca="1">VLOOKUP(A82,Data!C:I,7,FALSE)</f>
        <v>0</v>
      </c>
      <c r="F82" s="709" t="str">
        <f t="shared" si="14"/>
        <v>PR.AC-42</v>
      </c>
      <c r="G82" s="709" t="str">
        <f t="shared" ca="1" si="15"/>
        <v>PR.AC-420</v>
      </c>
      <c r="I82" s="24"/>
      <c r="J82" s="24" t="s">
        <v>1861</v>
      </c>
      <c r="K82" s="710">
        <f t="shared" ca="1" si="16"/>
        <v>0</v>
      </c>
      <c r="L82" s="711">
        <f t="shared" si="17"/>
        <v>13</v>
      </c>
      <c r="M82" s="711">
        <f t="shared" ca="1" si="18"/>
        <v>0</v>
      </c>
      <c r="N82" s="710">
        <f t="shared" ca="1" si="19"/>
        <v>0</v>
      </c>
      <c r="O82" s="711">
        <f t="shared" si="20"/>
        <v>1</v>
      </c>
      <c r="P82" s="711">
        <f t="shared" ca="1" si="21"/>
        <v>0</v>
      </c>
      <c r="Q82" s="710">
        <f t="shared" ca="1" si="22"/>
        <v>0</v>
      </c>
      <c r="R82" s="711">
        <f t="shared" si="23"/>
        <v>6</v>
      </c>
      <c r="S82" s="711">
        <f t="shared" ca="1" si="24"/>
        <v>0</v>
      </c>
      <c r="T82" s="710">
        <f t="shared" ca="1" si="25"/>
        <v>0</v>
      </c>
      <c r="U82" s="711">
        <f t="shared" si="26"/>
        <v>6</v>
      </c>
      <c r="V82" s="711">
        <f t="shared" ca="1" si="27"/>
        <v>0</v>
      </c>
    </row>
    <row r="83" spans="1:22" x14ac:dyDescent="0.25">
      <c r="A83" t="s">
        <v>1055</v>
      </c>
      <c r="B83" s="615">
        <v>3</v>
      </c>
      <c r="C83" t="s">
        <v>1829</v>
      </c>
      <c r="D83" t="s">
        <v>1856</v>
      </c>
      <c r="E83" s="615">
        <f ca="1">VLOOKUP(A83,Data!C:I,7,FALSE)</f>
        <v>0</v>
      </c>
      <c r="F83" s="709" t="str">
        <f t="shared" si="14"/>
        <v>PR.PT-13</v>
      </c>
      <c r="G83" s="709" t="str">
        <f t="shared" ca="1" si="15"/>
        <v>PR.PT-130</v>
      </c>
      <c r="I83" s="24"/>
      <c r="J83" s="24" t="s">
        <v>1864</v>
      </c>
      <c r="K83" s="710">
        <f t="shared" ca="1" si="16"/>
        <v>0</v>
      </c>
      <c r="L83" s="711">
        <f t="shared" si="17"/>
        <v>4</v>
      </c>
      <c r="M83" s="711">
        <f t="shared" ca="1" si="18"/>
        <v>0</v>
      </c>
      <c r="N83" s="710">
        <f t="shared" ca="1" si="19"/>
        <v>0</v>
      </c>
      <c r="O83" s="711">
        <f t="shared" si="20"/>
        <v>1</v>
      </c>
      <c r="P83" s="711">
        <f t="shared" ca="1" si="21"/>
        <v>0</v>
      </c>
      <c r="Q83" s="710">
        <f t="shared" ca="1" si="22"/>
        <v>0</v>
      </c>
      <c r="R83" s="711">
        <f t="shared" si="23"/>
        <v>2</v>
      </c>
      <c r="S83" s="711">
        <f t="shared" ca="1" si="24"/>
        <v>0</v>
      </c>
      <c r="T83" s="710">
        <f t="shared" ca="1" si="25"/>
        <v>0</v>
      </c>
      <c r="U83" s="711">
        <f t="shared" si="26"/>
        <v>1</v>
      </c>
      <c r="V83" s="711">
        <f t="shared" ca="1" si="27"/>
        <v>0</v>
      </c>
    </row>
    <row r="84" spans="1:22" x14ac:dyDescent="0.25">
      <c r="A84" t="s">
        <v>1057</v>
      </c>
      <c r="B84" s="615">
        <v>3</v>
      </c>
      <c r="C84" t="s">
        <v>507</v>
      </c>
      <c r="D84" t="s">
        <v>1857</v>
      </c>
      <c r="E84" s="615">
        <f ca="1">VLOOKUP(A84,Data!C:I,7,FALSE)</f>
        <v>0</v>
      </c>
      <c r="F84" s="709" t="str">
        <f t="shared" si="14"/>
        <v>ID.AM-63</v>
      </c>
      <c r="G84" s="709" t="str">
        <f t="shared" ca="1" si="15"/>
        <v>ID.AM-630</v>
      </c>
      <c r="I84" s="24" t="s">
        <v>2129</v>
      </c>
      <c r="J84" s="24" t="s">
        <v>1933</v>
      </c>
      <c r="K84" s="710">
        <f t="shared" ca="1" si="16"/>
        <v>0</v>
      </c>
      <c r="L84" s="711">
        <f t="shared" si="17"/>
        <v>2</v>
      </c>
      <c r="M84" s="711">
        <f t="shared" ca="1" si="18"/>
        <v>0</v>
      </c>
      <c r="N84" s="710">
        <f t="shared" ca="1" si="19"/>
        <v>0</v>
      </c>
      <c r="O84" s="711">
        <f t="shared" si="20"/>
        <v>1</v>
      </c>
      <c r="P84" s="711">
        <f t="shared" ca="1" si="21"/>
        <v>0</v>
      </c>
      <c r="Q84" s="710">
        <f t="shared" ca="1" si="22"/>
        <v>0</v>
      </c>
      <c r="R84" s="711">
        <f t="shared" si="23"/>
        <v>1</v>
      </c>
      <c r="S84" s="711">
        <f t="shared" ca="1" si="24"/>
        <v>0</v>
      </c>
      <c r="T84" s="710">
        <f t="shared" si="25"/>
        <v>0</v>
      </c>
      <c r="U84" s="711">
        <f t="shared" si="26"/>
        <v>0</v>
      </c>
      <c r="V84" s="711">
        <f t="shared" ca="1" si="27"/>
        <v>0</v>
      </c>
    </row>
    <row r="85" spans="1:22" x14ac:dyDescent="0.25">
      <c r="A85" t="s">
        <v>1057</v>
      </c>
      <c r="B85" s="615">
        <v>3</v>
      </c>
      <c r="C85" t="s">
        <v>507</v>
      </c>
      <c r="D85" t="s">
        <v>1858</v>
      </c>
      <c r="E85" s="615">
        <f ca="1">VLOOKUP(A85,Data!C:I,7,FALSE)</f>
        <v>0</v>
      </c>
      <c r="F85" s="709" t="str">
        <f t="shared" si="14"/>
        <v>ID.GV-23</v>
      </c>
      <c r="G85" s="709" t="str">
        <f t="shared" ca="1" si="15"/>
        <v>ID.GV-230</v>
      </c>
      <c r="I85" s="24"/>
      <c r="J85" s="24" t="s">
        <v>1910</v>
      </c>
      <c r="K85" s="710">
        <f t="shared" ca="1" si="16"/>
        <v>0</v>
      </c>
      <c r="L85" s="711">
        <f t="shared" si="17"/>
        <v>7</v>
      </c>
      <c r="M85" s="711">
        <f t="shared" ca="1" si="18"/>
        <v>0</v>
      </c>
      <c r="N85" s="710">
        <f t="shared" ca="1" si="19"/>
        <v>0</v>
      </c>
      <c r="O85" s="711">
        <f t="shared" si="20"/>
        <v>1</v>
      </c>
      <c r="P85" s="711">
        <f t="shared" ca="1" si="21"/>
        <v>0</v>
      </c>
      <c r="Q85" s="710">
        <f t="shared" ca="1" si="22"/>
        <v>0</v>
      </c>
      <c r="R85" s="711">
        <f t="shared" si="23"/>
        <v>4</v>
      </c>
      <c r="S85" s="711">
        <f t="shared" ca="1" si="24"/>
        <v>0</v>
      </c>
      <c r="T85" s="710">
        <f t="shared" ca="1" si="25"/>
        <v>0</v>
      </c>
      <c r="U85" s="711">
        <f t="shared" si="26"/>
        <v>2</v>
      </c>
      <c r="V85" s="711">
        <f t="shared" ca="1" si="27"/>
        <v>0</v>
      </c>
    </row>
    <row r="86" spans="1:22" x14ac:dyDescent="0.25">
      <c r="A86" t="s">
        <v>1058</v>
      </c>
      <c r="B86" s="615">
        <v>3</v>
      </c>
      <c r="C86" t="s">
        <v>1829</v>
      </c>
      <c r="D86" t="s">
        <v>1859</v>
      </c>
      <c r="E86" s="615">
        <f ca="1">VLOOKUP(A86,Data!C:I,7,FALSE)</f>
        <v>0</v>
      </c>
      <c r="F86" s="709" t="str">
        <f t="shared" si="14"/>
        <v>PR.IP-83</v>
      </c>
      <c r="G86" s="709" t="str">
        <f t="shared" ca="1" si="15"/>
        <v>PR.IP-830</v>
      </c>
      <c r="I86" s="24"/>
      <c r="J86" s="24" t="s">
        <v>1905</v>
      </c>
      <c r="K86" s="710">
        <f t="shared" ca="1" si="16"/>
        <v>0</v>
      </c>
      <c r="L86" s="711">
        <f t="shared" si="17"/>
        <v>8</v>
      </c>
      <c r="M86" s="711">
        <f t="shared" ca="1" si="18"/>
        <v>0</v>
      </c>
      <c r="N86" s="710">
        <f t="shared" ca="1" si="19"/>
        <v>0</v>
      </c>
      <c r="O86" s="711">
        <f t="shared" si="20"/>
        <v>1</v>
      </c>
      <c r="P86" s="711">
        <f t="shared" ca="1" si="21"/>
        <v>0</v>
      </c>
      <c r="Q86" s="710">
        <f t="shared" ca="1" si="22"/>
        <v>0</v>
      </c>
      <c r="R86" s="711">
        <f t="shared" si="23"/>
        <v>3</v>
      </c>
      <c r="S86" s="711">
        <f t="shared" ca="1" si="24"/>
        <v>0</v>
      </c>
      <c r="T86" s="710">
        <f t="shared" ca="1" si="25"/>
        <v>0</v>
      </c>
      <c r="U86" s="711">
        <f t="shared" si="26"/>
        <v>4</v>
      </c>
      <c r="V86" s="711">
        <f t="shared" ca="1" si="27"/>
        <v>0</v>
      </c>
    </row>
    <row r="87" spans="1:22" x14ac:dyDescent="0.25">
      <c r="A87" t="s">
        <v>345</v>
      </c>
      <c r="B87" s="615">
        <v>1</v>
      </c>
      <c r="C87" t="s">
        <v>1829</v>
      </c>
      <c r="D87" t="s">
        <v>1860</v>
      </c>
      <c r="E87" s="615">
        <f ca="1">VLOOKUP(A87,Data!C:I,7,FALSE)</f>
        <v>0</v>
      </c>
      <c r="F87" s="709" t="str">
        <f t="shared" si="14"/>
        <v>PR.AC-51</v>
      </c>
      <c r="G87" s="709" t="str">
        <f t="shared" ca="1" si="15"/>
        <v>PR.AC-510</v>
      </c>
      <c r="I87" s="24"/>
      <c r="J87" s="24" t="s">
        <v>1914</v>
      </c>
      <c r="K87" s="710">
        <f t="shared" ca="1" si="16"/>
        <v>0</v>
      </c>
      <c r="L87" s="711">
        <f t="shared" si="17"/>
        <v>3</v>
      </c>
      <c r="M87" s="711">
        <f t="shared" ca="1" si="18"/>
        <v>0</v>
      </c>
      <c r="N87" s="710">
        <f t="shared" ca="1" si="19"/>
        <v>0</v>
      </c>
      <c r="O87" s="711">
        <f t="shared" si="20"/>
        <v>1</v>
      </c>
      <c r="P87" s="711">
        <f t="shared" ca="1" si="21"/>
        <v>0</v>
      </c>
      <c r="Q87" s="710">
        <f t="shared" ca="1" si="22"/>
        <v>0</v>
      </c>
      <c r="R87" s="711">
        <f t="shared" si="23"/>
        <v>1</v>
      </c>
      <c r="S87" s="711">
        <f t="shared" ca="1" si="24"/>
        <v>0</v>
      </c>
      <c r="T87" s="710">
        <f t="shared" ca="1" si="25"/>
        <v>0</v>
      </c>
      <c r="U87" s="711">
        <f t="shared" si="26"/>
        <v>1</v>
      </c>
      <c r="V87" s="711">
        <f t="shared" ca="1" si="27"/>
        <v>0</v>
      </c>
    </row>
    <row r="88" spans="1:22" x14ac:dyDescent="0.25">
      <c r="A88" t="s">
        <v>346</v>
      </c>
      <c r="B88" s="615">
        <v>2</v>
      </c>
      <c r="C88" t="s">
        <v>1829</v>
      </c>
      <c r="D88" t="s">
        <v>1860</v>
      </c>
      <c r="E88" s="615">
        <f ca="1">VLOOKUP(A88,Data!C:I,7,FALSE)</f>
        <v>0</v>
      </c>
      <c r="F88" s="709" t="str">
        <f t="shared" si="14"/>
        <v>PR.AC-52</v>
      </c>
      <c r="G88" s="709" t="str">
        <f t="shared" ca="1" si="15"/>
        <v>PR.AC-520</v>
      </c>
      <c r="I88" s="24"/>
      <c r="J88" s="24" t="s">
        <v>1912</v>
      </c>
      <c r="K88" s="710">
        <f t="shared" ca="1" si="16"/>
        <v>0</v>
      </c>
      <c r="L88" s="711">
        <f t="shared" si="17"/>
        <v>8</v>
      </c>
      <c r="M88" s="711">
        <f t="shared" ca="1" si="18"/>
        <v>0</v>
      </c>
      <c r="N88" s="710">
        <f t="shared" ca="1" si="19"/>
        <v>0</v>
      </c>
      <c r="O88" s="711">
        <f t="shared" si="20"/>
        <v>1</v>
      </c>
      <c r="P88" s="711">
        <f t="shared" ca="1" si="21"/>
        <v>0</v>
      </c>
      <c r="Q88" s="710">
        <f t="shared" ca="1" si="22"/>
        <v>0</v>
      </c>
      <c r="R88" s="711">
        <f t="shared" si="23"/>
        <v>3</v>
      </c>
      <c r="S88" s="711">
        <f t="shared" ca="1" si="24"/>
        <v>0</v>
      </c>
      <c r="T88" s="710">
        <f t="shared" ca="1" si="25"/>
        <v>0</v>
      </c>
      <c r="U88" s="711">
        <f t="shared" si="26"/>
        <v>4</v>
      </c>
      <c r="V88" s="711">
        <f t="shared" ca="1" si="27"/>
        <v>0</v>
      </c>
    </row>
    <row r="89" spans="1:22" x14ac:dyDescent="0.25">
      <c r="A89" t="s">
        <v>347</v>
      </c>
      <c r="B89" s="615">
        <v>2</v>
      </c>
      <c r="C89" t="s">
        <v>1829</v>
      </c>
      <c r="D89" t="s">
        <v>1860</v>
      </c>
      <c r="E89" s="615">
        <f ca="1">VLOOKUP(A89,Data!C:I,7,FALSE)</f>
        <v>0</v>
      </c>
      <c r="F89" s="709" t="str">
        <f t="shared" si="14"/>
        <v>PR.AC-52</v>
      </c>
      <c r="G89" s="709" t="str">
        <f t="shared" ca="1" si="15"/>
        <v>PR.AC-520</v>
      </c>
      <c r="I89" s="24" t="s">
        <v>2137</v>
      </c>
      <c r="J89" s="24" t="s">
        <v>1865</v>
      </c>
      <c r="K89" s="710">
        <f t="shared" ca="1" si="16"/>
        <v>0</v>
      </c>
      <c r="L89" s="711">
        <f t="shared" si="17"/>
        <v>9</v>
      </c>
      <c r="M89" s="711">
        <f t="shared" ca="1" si="18"/>
        <v>0</v>
      </c>
      <c r="N89" s="710">
        <f t="shared" ca="1" si="19"/>
        <v>0</v>
      </c>
      <c r="O89" s="711">
        <f t="shared" si="20"/>
        <v>2</v>
      </c>
      <c r="P89" s="711">
        <f t="shared" ca="1" si="21"/>
        <v>0</v>
      </c>
      <c r="Q89" s="710">
        <f t="shared" ca="1" si="22"/>
        <v>0</v>
      </c>
      <c r="R89" s="711">
        <f t="shared" si="23"/>
        <v>4</v>
      </c>
      <c r="S89" s="711">
        <f t="shared" ca="1" si="24"/>
        <v>0</v>
      </c>
      <c r="T89" s="710">
        <f t="shared" ca="1" si="25"/>
        <v>0</v>
      </c>
      <c r="U89" s="711">
        <f t="shared" si="26"/>
        <v>3</v>
      </c>
      <c r="V89" s="711">
        <f t="shared" ca="1" si="27"/>
        <v>0</v>
      </c>
    </row>
    <row r="90" spans="1:22" x14ac:dyDescent="0.25">
      <c r="A90" t="s">
        <v>348</v>
      </c>
      <c r="B90" s="615">
        <v>2</v>
      </c>
      <c r="C90" t="s">
        <v>1829</v>
      </c>
      <c r="D90" t="s">
        <v>1861</v>
      </c>
      <c r="E90" s="615">
        <f ca="1">VLOOKUP(A90,Data!C:I,7,FALSE)</f>
        <v>0</v>
      </c>
      <c r="F90" s="709" t="str">
        <f t="shared" si="14"/>
        <v>PR.PT-42</v>
      </c>
      <c r="G90" s="709" t="str">
        <f t="shared" ca="1" si="15"/>
        <v>PR.PT-420</v>
      </c>
      <c r="I90" s="24"/>
      <c r="J90" s="24" t="s">
        <v>1855</v>
      </c>
      <c r="K90" s="710">
        <f t="shared" ca="1" si="16"/>
        <v>0</v>
      </c>
      <c r="L90" s="711">
        <f t="shared" si="17"/>
        <v>10</v>
      </c>
      <c r="M90" s="711">
        <f t="shared" ca="1" si="18"/>
        <v>0</v>
      </c>
      <c r="N90" s="710">
        <f t="shared" ca="1" si="19"/>
        <v>0</v>
      </c>
      <c r="O90" s="711">
        <f t="shared" si="20"/>
        <v>3</v>
      </c>
      <c r="P90" s="711">
        <f t="shared" ca="1" si="21"/>
        <v>0</v>
      </c>
      <c r="Q90" s="710">
        <f t="shared" ca="1" si="22"/>
        <v>0</v>
      </c>
      <c r="R90" s="711">
        <f t="shared" si="23"/>
        <v>3</v>
      </c>
      <c r="S90" s="711">
        <f t="shared" ca="1" si="24"/>
        <v>0</v>
      </c>
      <c r="T90" s="710">
        <f t="shared" ca="1" si="25"/>
        <v>0</v>
      </c>
      <c r="U90" s="711">
        <f t="shared" si="26"/>
        <v>4</v>
      </c>
      <c r="V90" s="711">
        <f t="shared" ca="1" si="27"/>
        <v>0</v>
      </c>
    </row>
    <row r="91" spans="1:22" x14ac:dyDescent="0.25">
      <c r="A91" t="s">
        <v>349</v>
      </c>
      <c r="B91" s="615">
        <v>2</v>
      </c>
      <c r="C91" t="s">
        <v>1829</v>
      </c>
      <c r="D91" t="s">
        <v>1860</v>
      </c>
      <c r="E91" s="615">
        <f ca="1">VLOOKUP(A91,Data!C:I,7,FALSE)</f>
        <v>0</v>
      </c>
      <c r="F91" s="709" t="str">
        <f t="shared" si="14"/>
        <v>PR.AC-52</v>
      </c>
      <c r="G91" s="709" t="str">
        <f t="shared" ca="1" si="15"/>
        <v>PR.AC-520</v>
      </c>
      <c r="I91" s="24"/>
      <c r="J91" s="24" t="s">
        <v>1851</v>
      </c>
      <c r="K91" s="710">
        <f t="shared" ca="1" si="16"/>
        <v>0</v>
      </c>
      <c r="L91" s="711">
        <f t="shared" si="17"/>
        <v>13</v>
      </c>
      <c r="M91" s="711">
        <f t="shared" ca="1" si="18"/>
        <v>0</v>
      </c>
      <c r="N91" s="710">
        <f t="shared" ca="1" si="19"/>
        <v>0</v>
      </c>
      <c r="O91" s="711">
        <f t="shared" si="20"/>
        <v>3</v>
      </c>
      <c r="P91" s="711">
        <f t="shared" ca="1" si="21"/>
        <v>0</v>
      </c>
      <c r="Q91" s="710">
        <f t="shared" ca="1" si="22"/>
        <v>0</v>
      </c>
      <c r="R91" s="711">
        <f t="shared" si="23"/>
        <v>5</v>
      </c>
      <c r="S91" s="711">
        <f t="shared" ca="1" si="24"/>
        <v>0</v>
      </c>
      <c r="T91" s="710">
        <f t="shared" ca="1" si="25"/>
        <v>0</v>
      </c>
      <c r="U91" s="711">
        <f t="shared" si="26"/>
        <v>5</v>
      </c>
      <c r="V91" s="711">
        <f t="shared" ca="1" si="27"/>
        <v>0</v>
      </c>
    </row>
    <row r="92" spans="1:22" x14ac:dyDescent="0.25">
      <c r="A92" t="s">
        <v>349</v>
      </c>
      <c r="B92" s="615">
        <v>2</v>
      </c>
      <c r="C92" t="s">
        <v>1829</v>
      </c>
      <c r="D92" t="s">
        <v>1862</v>
      </c>
      <c r="E92" s="615">
        <f ca="1">VLOOKUP(A92,Data!C:I,7,FALSE)</f>
        <v>0</v>
      </c>
      <c r="F92" s="709" t="str">
        <f t="shared" si="14"/>
        <v>PR.DS-42</v>
      </c>
      <c r="G92" s="709" t="str">
        <f t="shared" ca="1" si="15"/>
        <v>PR.DS-420</v>
      </c>
      <c r="I92" s="24"/>
      <c r="J92" s="24" t="s">
        <v>1869</v>
      </c>
      <c r="K92" s="710">
        <f t="shared" ca="1" si="16"/>
        <v>0</v>
      </c>
      <c r="L92" s="711">
        <f t="shared" si="17"/>
        <v>9</v>
      </c>
      <c r="M92" s="711">
        <f t="shared" ca="1" si="18"/>
        <v>0</v>
      </c>
      <c r="N92" s="710">
        <f t="shared" ca="1" si="19"/>
        <v>0</v>
      </c>
      <c r="O92" s="711">
        <f t="shared" si="20"/>
        <v>2</v>
      </c>
      <c r="P92" s="711">
        <f t="shared" ca="1" si="21"/>
        <v>0</v>
      </c>
      <c r="Q92" s="710">
        <f t="shared" ca="1" si="22"/>
        <v>0</v>
      </c>
      <c r="R92" s="711">
        <f t="shared" si="23"/>
        <v>2</v>
      </c>
      <c r="S92" s="711">
        <f t="shared" ca="1" si="24"/>
        <v>0</v>
      </c>
      <c r="T92" s="710">
        <f t="shared" ca="1" si="25"/>
        <v>0</v>
      </c>
      <c r="U92" s="711">
        <f t="shared" si="26"/>
        <v>5</v>
      </c>
      <c r="V92" s="711">
        <f t="shared" ca="1" si="27"/>
        <v>0</v>
      </c>
    </row>
    <row r="93" spans="1:22" x14ac:dyDescent="0.25">
      <c r="A93" t="s">
        <v>350</v>
      </c>
      <c r="B93" s="615">
        <v>2</v>
      </c>
      <c r="C93" t="s">
        <v>1829</v>
      </c>
      <c r="D93" t="s">
        <v>1860</v>
      </c>
      <c r="E93" s="615">
        <f ca="1">VLOOKUP(A93,Data!C:I,7,FALSE)</f>
        <v>0</v>
      </c>
      <c r="F93" s="709" t="str">
        <f t="shared" si="14"/>
        <v>PR.AC-52</v>
      </c>
      <c r="G93" s="709" t="str">
        <f t="shared" ca="1" si="15"/>
        <v>PR.AC-520</v>
      </c>
      <c r="I93" s="24"/>
      <c r="J93" s="24" t="s">
        <v>1873</v>
      </c>
      <c r="K93" s="710">
        <f t="shared" ca="1" si="16"/>
        <v>0</v>
      </c>
      <c r="L93" s="711">
        <f t="shared" si="17"/>
        <v>8</v>
      </c>
      <c r="M93" s="711">
        <f t="shared" ca="1" si="18"/>
        <v>0</v>
      </c>
      <c r="N93" s="710">
        <f t="shared" ca="1" si="19"/>
        <v>0</v>
      </c>
      <c r="O93" s="711">
        <f t="shared" si="20"/>
        <v>2</v>
      </c>
      <c r="P93" s="711">
        <f t="shared" ca="1" si="21"/>
        <v>0</v>
      </c>
      <c r="Q93" s="710">
        <f t="shared" ca="1" si="22"/>
        <v>0</v>
      </c>
      <c r="R93" s="711">
        <f t="shared" si="23"/>
        <v>1</v>
      </c>
      <c r="S93" s="711">
        <f t="shared" ca="1" si="24"/>
        <v>0</v>
      </c>
      <c r="T93" s="710">
        <f t="shared" ca="1" si="25"/>
        <v>0</v>
      </c>
      <c r="U93" s="711">
        <f t="shared" si="26"/>
        <v>5</v>
      </c>
      <c r="V93" s="711">
        <f t="shared" ca="1" si="27"/>
        <v>0</v>
      </c>
    </row>
    <row r="94" spans="1:22" x14ac:dyDescent="0.25">
      <c r="A94" t="s">
        <v>350</v>
      </c>
      <c r="B94" s="615">
        <v>2</v>
      </c>
      <c r="C94" t="s">
        <v>1829</v>
      </c>
      <c r="D94" t="s">
        <v>1862</v>
      </c>
      <c r="E94" s="615">
        <f ca="1">VLOOKUP(A94,Data!C:I,7,FALSE)</f>
        <v>0</v>
      </c>
      <c r="F94" s="709" t="str">
        <f t="shared" si="14"/>
        <v>PR.DS-42</v>
      </c>
      <c r="G94" s="709" t="str">
        <f t="shared" ca="1" si="15"/>
        <v>PR.DS-420</v>
      </c>
      <c r="I94" s="24"/>
      <c r="J94" s="24" t="s">
        <v>1852</v>
      </c>
      <c r="K94" s="710">
        <f t="shared" ca="1" si="16"/>
        <v>0</v>
      </c>
      <c r="L94" s="711">
        <f t="shared" si="17"/>
        <v>12</v>
      </c>
      <c r="M94" s="711">
        <f t="shared" ca="1" si="18"/>
        <v>0</v>
      </c>
      <c r="N94" s="710">
        <f t="shared" ca="1" si="19"/>
        <v>0</v>
      </c>
      <c r="O94" s="711">
        <f t="shared" si="20"/>
        <v>3</v>
      </c>
      <c r="P94" s="711">
        <f t="shared" ca="1" si="21"/>
        <v>0</v>
      </c>
      <c r="Q94" s="710">
        <f t="shared" ca="1" si="22"/>
        <v>0</v>
      </c>
      <c r="R94" s="711">
        <f t="shared" si="23"/>
        <v>4</v>
      </c>
      <c r="S94" s="711">
        <f t="shared" ca="1" si="24"/>
        <v>0</v>
      </c>
      <c r="T94" s="710">
        <f t="shared" ca="1" si="25"/>
        <v>0</v>
      </c>
      <c r="U94" s="711">
        <f t="shared" si="26"/>
        <v>5</v>
      </c>
      <c r="V94" s="711">
        <f t="shared" ca="1" si="27"/>
        <v>0</v>
      </c>
    </row>
    <row r="95" spans="1:22" x14ac:dyDescent="0.25">
      <c r="A95" t="s">
        <v>350</v>
      </c>
      <c r="B95" s="615">
        <v>2</v>
      </c>
      <c r="C95" t="s">
        <v>1829</v>
      </c>
      <c r="D95" t="s">
        <v>1863</v>
      </c>
      <c r="E95" s="615">
        <f ca="1">VLOOKUP(A95,Data!C:I,7,FALSE)</f>
        <v>0</v>
      </c>
      <c r="F95" s="709" t="str">
        <f t="shared" si="14"/>
        <v>PR.DS-52</v>
      </c>
      <c r="G95" s="709" t="str">
        <f t="shared" ca="1" si="15"/>
        <v>PR.DS-520</v>
      </c>
      <c r="I95" s="24"/>
      <c r="J95" s="24" t="s">
        <v>1853</v>
      </c>
      <c r="K95" s="710">
        <f t="shared" ca="1" si="16"/>
        <v>0</v>
      </c>
      <c r="L95" s="711">
        <f t="shared" si="17"/>
        <v>13</v>
      </c>
      <c r="M95" s="711">
        <f t="shared" ca="1" si="18"/>
        <v>0</v>
      </c>
      <c r="N95" s="710">
        <f t="shared" ca="1" si="19"/>
        <v>0</v>
      </c>
      <c r="O95" s="711">
        <f t="shared" si="20"/>
        <v>3</v>
      </c>
      <c r="P95" s="711">
        <f t="shared" ca="1" si="21"/>
        <v>0</v>
      </c>
      <c r="Q95" s="710">
        <f t="shared" ca="1" si="22"/>
        <v>0</v>
      </c>
      <c r="R95" s="711">
        <f t="shared" si="23"/>
        <v>5</v>
      </c>
      <c r="S95" s="711">
        <f t="shared" ca="1" si="24"/>
        <v>0</v>
      </c>
      <c r="T95" s="710">
        <f t="shared" ca="1" si="25"/>
        <v>0</v>
      </c>
      <c r="U95" s="711">
        <f t="shared" si="26"/>
        <v>5</v>
      </c>
      <c r="V95" s="711">
        <f t="shared" ca="1" si="27"/>
        <v>0</v>
      </c>
    </row>
    <row r="96" spans="1:22" x14ac:dyDescent="0.25">
      <c r="A96" t="s">
        <v>350</v>
      </c>
      <c r="B96" s="615">
        <v>2</v>
      </c>
      <c r="C96" t="s">
        <v>1829</v>
      </c>
      <c r="D96" t="s">
        <v>1861</v>
      </c>
      <c r="E96" s="615">
        <f ca="1">VLOOKUP(A96,Data!C:I,7,FALSE)</f>
        <v>0</v>
      </c>
      <c r="F96" s="709" t="str">
        <f t="shared" si="14"/>
        <v>PR.PT-42</v>
      </c>
      <c r="G96" s="709" t="str">
        <f t="shared" ca="1" si="15"/>
        <v>PR.PT-420</v>
      </c>
      <c r="I96" s="24"/>
      <c r="J96" s="24" t="s">
        <v>1931</v>
      </c>
      <c r="K96" s="710">
        <f t="shared" ca="1" si="16"/>
        <v>0</v>
      </c>
      <c r="L96" s="711">
        <f t="shared" si="17"/>
        <v>4</v>
      </c>
      <c r="M96" s="711">
        <f t="shared" ca="1" si="18"/>
        <v>0</v>
      </c>
      <c r="N96" s="710">
        <f t="shared" ca="1" si="19"/>
        <v>0</v>
      </c>
      <c r="O96" s="711">
        <f t="shared" si="20"/>
        <v>1</v>
      </c>
      <c r="P96" s="711">
        <f t="shared" ca="1" si="21"/>
        <v>0</v>
      </c>
      <c r="Q96" s="710">
        <f t="shared" ca="1" si="22"/>
        <v>0</v>
      </c>
      <c r="R96" s="711">
        <f t="shared" si="23"/>
        <v>2</v>
      </c>
      <c r="S96" s="711">
        <f t="shared" ca="1" si="24"/>
        <v>0</v>
      </c>
      <c r="T96" s="710">
        <f t="shared" ca="1" si="25"/>
        <v>0</v>
      </c>
      <c r="U96" s="711">
        <f t="shared" si="26"/>
        <v>1</v>
      </c>
      <c r="V96" s="711">
        <f t="shared" ca="1" si="27"/>
        <v>0</v>
      </c>
    </row>
    <row r="97" spans="1:22" x14ac:dyDescent="0.25">
      <c r="A97" t="s">
        <v>350</v>
      </c>
      <c r="B97" s="615">
        <v>2</v>
      </c>
      <c r="C97" t="s">
        <v>1829</v>
      </c>
      <c r="D97" t="s">
        <v>1864</v>
      </c>
      <c r="E97" s="615">
        <f ca="1">VLOOKUP(A97,Data!C:I,7,FALSE)</f>
        <v>0</v>
      </c>
      <c r="F97" s="709" t="str">
        <f t="shared" si="14"/>
        <v>PR.PT-52</v>
      </c>
      <c r="G97" s="709" t="str">
        <f t="shared" ca="1" si="15"/>
        <v>PR.PT-520</v>
      </c>
      <c r="I97" s="24" t="s">
        <v>2148</v>
      </c>
      <c r="J97" s="24" t="s">
        <v>1906</v>
      </c>
      <c r="K97" s="710">
        <f t="shared" ca="1" si="16"/>
        <v>0</v>
      </c>
      <c r="L97" s="711">
        <f t="shared" si="17"/>
        <v>8</v>
      </c>
      <c r="M97" s="711">
        <f t="shared" ca="1" si="18"/>
        <v>0</v>
      </c>
      <c r="N97" s="710">
        <f t="shared" ca="1" si="19"/>
        <v>0</v>
      </c>
      <c r="O97" s="711">
        <f t="shared" si="20"/>
        <v>3</v>
      </c>
      <c r="P97" s="711">
        <f t="shared" ca="1" si="21"/>
        <v>0</v>
      </c>
      <c r="Q97" s="710">
        <f t="shared" ca="1" si="22"/>
        <v>0</v>
      </c>
      <c r="R97" s="711">
        <f t="shared" si="23"/>
        <v>3</v>
      </c>
      <c r="S97" s="711">
        <f t="shared" ca="1" si="24"/>
        <v>0</v>
      </c>
      <c r="T97" s="710">
        <f t="shared" ca="1" si="25"/>
        <v>0</v>
      </c>
      <c r="U97" s="711">
        <f t="shared" si="26"/>
        <v>2</v>
      </c>
      <c r="V97" s="711">
        <f t="shared" ca="1" si="27"/>
        <v>0</v>
      </c>
    </row>
    <row r="98" spans="1:22" x14ac:dyDescent="0.25">
      <c r="A98" t="s">
        <v>352</v>
      </c>
      <c r="B98" s="615">
        <v>3</v>
      </c>
      <c r="C98" t="s">
        <v>1829</v>
      </c>
      <c r="D98" t="s">
        <v>1862</v>
      </c>
      <c r="E98" s="615">
        <f ca="1">VLOOKUP(A98,Data!C:I,7,FALSE)</f>
        <v>0</v>
      </c>
      <c r="F98" s="709" t="str">
        <f t="shared" si="14"/>
        <v>PR.DS-43</v>
      </c>
      <c r="G98" s="709" t="str">
        <f t="shared" ca="1" si="15"/>
        <v>PR.DS-430</v>
      </c>
      <c r="I98" s="24"/>
      <c r="J98" s="24" t="s">
        <v>1908</v>
      </c>
      <c r="K98" s="710">
        <f t="shared" ca="1" si="16"/>
        <v>0</v>
      </c>
      <c r="L98" s="711">
        <f t="shared" si="17"/>
        <v>4</v>
      </c>
      <c r="M98" s="711">
        <f t="shared" ca="1" si="18"/>
        <v>0</v>
      </c>
      <c r="N98" s="710">
        <f t="shared" si="19"/>
        <v>0</v>
      </c>
      <c r="O98" s="711">
        <f t="shared" si="20"/>
        <v>0</v>
      </c>
      <c r="P98" s="711">
        <f t="shared" ca="1" si="21"/>
        <v>0</v>
      </c>
      <c r="Q98" s="710">
        <f t="shared" ca="1" si="22"/>
        <v>0</v>
      </c>
      <c r="R98" s="711">
        <f t="shared" si="23"/>
        <v>3</v>
      </c>
      <c r="S98" s="711">
        <f t="shared" ca="1" si="24"/>
        <v>0</v>
      </c>
      <c r="T98" s="710">
        <f t="shared" ca="1" si="25"/>
        <v>0</v>
      </c>
      <c r="U98" s="711">
        <f t="shared" si="26"/>
        <v>1</v>
      </c>
      <c r="V98" s="711">
        <f t="shared" ca="1" si="27"/>
        <v>0</v>
      </c>
    </row>
    <row r="99" spans="1:22" x14ac:dyDescent="0.25">
      <c r="A99" t="s">
        <v>354</v>
      </c>
      <c r="B99" s="615">
        <v>1</v>
      </c>
      <c r="C99" t="s">
        <v>1829</v>
      </c>
      <c r="D99" t="s">
        <v>1860</v>
      </c>
      <c r="E99" s="615">
        <f ca="1">VLOOKUP(A99,Data!C:I,7,FALSE)</f>
        <v>0</v>
      </c>
      <c r="F99" s="709" t="str">
        <f t="shared" si="14"/>
        <v>PR.AC-51</v>
      </c>
      <c r="G99" s="709" t="str">
        <f t="shared" ca="1" si="15"/>
        <v>PR.AC-510</v>
      </c>
      <c r="I99" s="24"/>
      <c r="J99" s="24" t="s">
        <v>1916</v>
      </c>
      <c r="K99" s="710">
        <f t="shared" ca="1" si="16"/>
        <v>0</v>
      </c>
      <c r="L99" s="711">
        <f t="shared" si="17"/>
        <v>3</v>
      </c>
      <c r="M99" s="711">
        <f t="shared" ca="1" si="18"/>
        <v>0</v>
      </c>
      <c r="N99" s="710">
        <f t="shared" si="19"/>
        <v>0</v>
      </c>
      <c r="O99" s="711">
        <f t="shared" si="20"/>
        <v>0</v>
      </c>
      <c r="P99" s="711">
        <f t="shared" ca="1" si="21"/>
        <v>0</v>
      </c>
      <c r="Q99" s="710">
        <f t="shared" ca="1" si="22"/>
        <v>0</v>
      </c>
      <c r="R99" s="711">
        <f t="shared" si="23"/>
        <v>2</v>
      </c>
      <c r="S99" s="711">
        <f t="shared" ca="1" si="24"/>
        <v>0</v>
      </c>
      <c r="T99" s="710">
        <f t="shared" ca="1" si="25"/>
        <v>0</v>
      </c>
      <c r="U99" s="711">
        <f t="shared" si="26"/>
        <v>1</v>
      </c>
      <c r="V99" s="711">
        <f t="shared" ca="1" si="27"/>
        <v>0</v>
      </c>
    </row>
    <row r="100" spans="1:22" x14ac:dyDescent="0.25">
      <c r="A100" t="s">
        <v>354</v>
      </c>
      <c r="B100" s="615">
        <v>1</v>
      </c>
      <c r="C100" t="s">
        <v>1829</v>
      </c>
      <c r="D100" t="s">
        <v>1861</v>
      </c>
      <c r="E100" s="615">
        <f ca="1">VLOOKUP(A100,Data!C:I,7,FALSE)</f>
        <v>0</v>
      </c>
      <c r="F100" s="709" t="str">
        <f t="shared" si="14"/>
        <v>PR.PT-41</v>
      </c>
      <c r="G100" s="709" t="str">
        <f t="shared" ca="1" si="15"/>
        <v>PR.PT-410</v>
      </c>
      <c r="I100" s="24"/>
      <c r="J100" s="24" t="s">
        <v>1907</v>
      </c>
      <c r="K100" s="710">
        <f t="shared" ca="1" si="16"/>
        <v>0</v>
      </c>
      <c r="L100" s="711">
        <f t="shared" si="17"/>
        <v>7</v>
      </c>
      <c r="M100" s="711">
        <f t="shared" ca="1" si="18"/>
        <v>0</v>
      </c>
      <c r="N100" s="710">
        <f t="shared" ca="1" si="19"/>
        <v>0</v>
      </c>
      <c r="O100" s="711">
        <f t="shared" si="20"/>
        <v>2</v>
      </c>
      <c r="P100" s="711">
        <f t="shared" ca="1" si="21"/>
        <v>0</v>
      </c>
      <c r="Q100" s="710">
        <f t="shared" ca="1" si="22"/>
        <v>0</v>
      </c>
      <c r="R100" s="711">
        <f t="shared" si="23"/>
        <v>2</v>
      </c>
      <c r="S100" s="711">
        <f t="shared" ca="1" si="24"/>
        <v>0</v>
      </c>
      <c r="T100" s="710">
        <f t="shared" ca="1" si="25"/>
        <v>0</v>
      </c>
      <c r="U100" s="711">
        <f t="shared" si="26"/>
        <v>3</v>
      </c>
      <c r="V100" s="711">
        <f t="shared" ca="1" si="27"/>
        <v>0</v>
      </c>
    </row>
    <row r="101" spans="1:22" x14ac:dyDescent="0.25">
      <c r="A101" t="s">
        <v>354</v>
      </c>
      <c r="B101" s="615">
        <v>1</v>
      </c>
      <c r="C101" t="s">
        <v>1829</v>
      </c>
      <c r="D101" t="s">
        <v>1864</v>
      </c>
      <c r="E101" s="615">
        <f ca="1">VLOOKUP(A101,Data!C:I,7,FALSE)</f>
        <v>0</v>
      </c>
      <c r="F101" s="709" t="str">
        <f t="shared" si="14"/>
        <v>PR.PT-51</v>
      </c>
      <c r="G101" s="709" t="str">
        <f t="shared" ca="1" si="15"/>
        <v>PR.PT-510</v>
      </c>
      <c r="I101" s="24"/>
      <c r="J101" s="24" t="s">
        <v>1911</v>
      </c>
      <c r="K101" s="710">
        <f t="shared" ca="1" si="16"/>
        <v>0</v>
      </c>
      <c r="L101" s="711">
        <f t="shared" si="17"/>
        <v>3</v>
      </c>
      <c r="M101" s="711">
        <f t="shared" ca="1" si="18"/>
        <v>0</v>
      </c>
      <c r="N101" s="710">
        <f t="shared" si="19"/>
        <v>0</v>
      </c>
      <c r="O101" s="711">
        <f t="shared" si="20"/>
        <v>0</v>
      </c>
      <c r="P101" s="711">
        <f t="shared" ca="1" si="21"/>
        <v>0</v>
      </c>
      <c r="Q101" s="710">
        <f t="shared" ca="1" si="22"/>
        <v>0</v>
      </c>
      <c r="R101" s="711">
        <f t="shared" si="23"/>
        <v>2</v>
      </c>
      <c r="S101" s="711">
        <f t="shared" ca="1" si="24"/>
        <v>0</v>
      </c>
      <c r="T101" s="710">
        <f t="shared" ca="1" si="25"/>
        <v>0</v>
      </c>
      <c r="U101" s="711">
        <f t="shared" si="26"/>
        <v>1</v>
      </c>
      <c r="V101" s="711">
        <f t="shared" ca="1" si="27"/>
        <v>0</v>
      </c>
    </row>
    <row r="102" spans="1:22" x14ac:dyDescent="0.25">
      <c r="A102" t="s">
        <v>355</v>
      </c>
      <c r="B102" s="615">
        <v>2</v>
      </c>
      <c r="C102" t="s">
        <v>1829</v>
      </c>
      <c r="D102" t="s">
        <v>1860</v>
      </c>
      <c r="E102" s="615">
        <f ca="1">VLOOKUP(A102,Data!C:I,7,FALSE)</f>
        <v>0</v>
      </c>
      <c r="F102" s="709" t="str">
        <f t="shared" si="14"/>
        <v>PR.AC-52</v>
      </c>
      <c r="G102" s="709" t="str">
        <f t="shared" ca="1" si="15"/>
        <v>PR.AC-520</v>
      </c>
      <c r="I102" s="24" t="s">
        <v>2156</v>
      </c>
      <c r="J102" s="24" t="s">
        <v>1898</v>
      </c>
      <c r="K102" s="710">
        <f t="shared" ca="1" si="16"/>
        <v>0</v>
      </c>
      <c r="L102" s="711">
        <f t="shared" si="17"/>
        <v>14</v>
      </c>
      <c r="M102" s="711">
        <f t="shared" ca="1" si="18"/>
        <v>0</v>
      </c>
      <c r="N102" s="710">
        <f t="shared" ca="1" si="19"/>
        <v>0</v>
      </c>
      <c r="O102" s="711">
        <f t="shared" si="20"/>
        <v>6</v>
      </c>
      <c r="P102" s="711">
        <f t="shared" ca="1" si="21"/>
        <v>0</v>
      </c>
      <c r="Q102" s="710">
        <f t="shared" ca="1" si="22"/>
        <v>0</v>
      </c>
      <c r="R102" s="711">
        <f t="shared" si="23"/>
        <v>4</v>
      </c>
      <c r="S102" s="711">
        <f t="shared" ca="1" si="24"/>
        <v>0</v>
      </c>
      <c r="T102" s="710">
        <f t="shared" ca="1" si="25"/>
        <v>0</v>
      </c>
      <c r="U102" s="711">
        <f t="shared" si="26"/>
        <v>4</v>
      </c>
      <c r="V102" s="711">
        <f t="shared" ca="1" si="27"/>
        <v>0</v>
      </c>
    </row>
    <row r="103" spans="1:22" x14ac:dyDescent="0.25">
      <c r="A103" t="s">
        <v>355</v>
      </c>
      <c r="B103" s="615">
        <v>2</v>
      </c>
      <c r="C103" t="s">
        <v>1829</v>
      </c>
      <c r="D103" t="s">
        <v>1861</v>
      </c>
      <c r="E103" s="615">
        <f ca="1">VLOOKUP(A103,Data!C:I,7,FALSE)</f>
        <v>0</v>
      </c>
      <c r="F103" s="709" t="str">
        <f t="shared" si="14"/>
        <v>PR.PT-42</v>
      </c>
      <c r="G103" s="709" t="str">
        <f t="shared" ca="1" si="15"/>
        <v>PR.PT-420</v>
      </c>
      <c r="I103" s="24" t="s">
        <v>2160</v>
      </c>
      <c r="J103" s="24" t="s">
        <v>1899</v>
      </c>
      <c r="K103" s="710">
        <f t="shared" ca="1" si="16"/>
        <v>0</v>
      </c>
      <c r="L103" s="711">
        <f t="shared" si="17"/>
        <v>3</v>
      </c>
      <c r="M103" s="711">
        <f t="shared" ca="1" si="18"/>
        <v>0</v>
      </c>
      <c r="N103" s="710">
        <f t="shared" ca="1" si="19"/>
        <v>0</v>
      </c>
      <c r="O103" s="711">
        <f t="shared" si="20"/>
        <v>2</v>
      </c>
      <c r="P103" s="711">
        <f t="shared" ca="1" si="21"/>
        <v>0</v>
      </c>
      <c r="Q103" s="710">
        <f t="shared" ca="1" si="22"/>
        <v>0</v>
      </c>
      <c r="R103" s="711">
        <f t="shared" si="23"/>
        <v>1</v>
      </c>
      <c r="S103" s="711">
        <f t="shared" ca="1" si="24"/>
        <v>0</v>
      </c>
      <c r="T103" s="710">
        <f t="shared" si="25"/>
        <v>0</v>
      </c>
      <c r="U103" s="711">
        <f t="shared" si="26"/>
        <v>0</v>
      </c>
      <c r="V103" s="711">
        <f t="shared" ca="1" si="27"/>
        <v>0</v>
      </c>
    </row>
    <row r="104" spans="1:22" x14ac:dyDescent="0.25">
      <c r="A104" t="s">
        <v>356</v>
      </c>
      <c r="B104" s="615">
        <v>2</v>
      </c>
      <c r="C104" t="s">
        <v>1829</v>
      </c>
      <c r="D104" t="s">
        <v>1860</v>
      </c>
      <c r="E104" s="615">
        <f ca="1">VLOOKUP(A104,Data!C:I,7,FALSE)</f>
        <v>0</v>
      </c>
      <c r="F104" s="709" t="str">
        <f t="shared" si="14"/>
        <v>PR.AC-52</v>
      </c>
      <c r="G104" s="709" t="str">
        <f t="shared" ca="1" si="15"/>
        <v>PR.AC-520</v>
      </c>
      <c r="I104" s="24"/>
      <c r="J104" s="24" t="s">
        <v>1902</v>
      </c>
      <c r="K104" s="710">
        <f t="shared" ca="1" si="16"/>
        <v>0</v>
      </c>
      <c r="L104" s="711">
        <f t="shared" si="17"/>
        <v>3</v>
      </c>
      <c r="M104" s="711">
        <f t="shared" ca="1" si="18"/>
        <v>0</v>
      </c>
      <c r="N104" s="710">
        <f t="shared" si="19"/>
        <v>0</v>
      </c>
      <c r="O104" s="711">
        <f t="shared" si="20"/>
        <v>0</v>
      </c>
      <c r="P104" s="711">
        <f t="shared" ca="1" si="21"/>
        <v>0</v>
      </c>
      <c r="Q104" s="710">
        <f t="shared" ca="1" si="22"/>
        <v>0</v>
      </c>
      <c r="R104" s="711">
        <f t="shared" si="23"/>
        <v>3</v>
      </c>
      <c r="S104" s="711">
        <f t="shared" ca="1" si="24"/>
        <v>0</v>
      </c>
      <c r="T104" s="710">
        <f t="shared" si="25"/>
        <v>0</v>
      </c>
      <c r="U104" s="711">
        <f t="shared" si="26"/>
        <v>0</v>
      </c>
      <c r="V104" s="711">
        <f t="shared" ca="1" si="27"/>
        <v>0</v>
      </c>
    </row>
    <row r="105" spans="1:22" x14ac:dyDescent="0.25">
      <c r="A105" t="s">
        <v>356</v>
      </c>
      <c r="B105" s="615">
        <v>2</v>
      </c>
      <c r="C105" t="s">
        <v>1829</v>
      </c>
      <c r="D105" t="s">
        <v>1848</v>
      </c>
      <c r="E105" s="615">
        <f ca="1">VLOOKUP(A105,Data!C:I,7,FALSE)</f>
        <v>0</v>
      </c>
      <c r="F105" s="709" t="str">
        <f t="shared" si="14"/>
        <v>PR.PT-32</v>
      </c>
      <c r="G105" s="709" t="str">
        <f t="shared" ca="1" si="15"/>
        <v>PR.PT-320</v>
      </c>
      <c r="I105" s="24"/>
      <c r="J105" s="24" t="s">
        <v>1903</v>
      </c>
      <c r="K105" s="710">
        <f t="shared" ca="1" si="16"/>
        <v>0</v>
      </c>
      <c r="L105" s="711">
        <f t="shared" si="17"/>
        <v>9</v>
      </c>
      <c r="M105" s="711">
        <f t="shared" ca="1" si="18"/>
        <v>0</v>
      </c>
      <c r="N105" s="710">
        <f t="shared" si="19"/>
        <v>0</v>
      </c>
      <c r="O105" s="711">
        <f t="shared" si="20"/>
        <v>0</v>
      </c>
      <c r="P105" s="711">
        <f t="shared" ca="1" si="21"/>
        <v>0</v>
      </c>
      <c r="Q105" s="710">
        <f t="shared" ca="1" si="22"/>
        <v>0</v>
      </c>
      <c r="R105" s="711">
        <f t="shared" si="23"/>
        <v>4</v>
      </c>
      <c r="S105" s="711">
        <f t="shared" ca="1" si="24"/>
        <v>0</v>
      </c>
      <c r="T105" s="710">
        <f t="shared" ca="1" si="25"/>
        <v>0</v>
      </c>
      <c r="U105" s="711">
        <f t="shared" si="26"/>
        <v>5</v>
      </c>
      <c r="V105" s="711">
        <f t="shared" ca="1" si="27"/>
        <v>0</v>
      </c>
    </row>
    <row r="106" spans="1:22" x14ac:dyDescent="0.25">
      <c r="A106" t="s">
        <v>356</v>
      </c>
      <c r="B106" s="615">
        <v>2</v>
      </c>
      <c r="C106" t="s">
        <v>1829</v>
      </c>
      <c r="D106" t="s">
        <v>1861</v>
      </c>
      <c r="E106" s="615">
        <f ca="1">VLOOKUP(A106,Data!C:I,7,FALSE)</f>
        <v>0</v>
      </c>
      <c r="F106" s="709" t="str">
        <f t="shared" si="14"/>
        <v>PR.PT-42</v>
      </c>
      <c r="G106" s="709" t="str">
        <f t="shared" ca="1" si="15"/>
        <v>PR.PT-420</v>
      </c>
      <c r="I106" s="24"/>
      <c r="J106" s="24" t="s">
        <v>1901</v>
      </c>
      <c r="K106" s="710">
        <f t="shared" ca="1" si="16"/>
        <v>0</v>
      </c>
      <c r="L106" s="711">
        <f t="shared" si="17"/>
        <v>5</v>
      </c>
      <c r="M106" s="711">
        <f t="shared" ca="1" si="18"/>
        <v>0</v>
      </c>
      <c r="N106" s="710">
        <f t="shared" ca="1" si="19"/>
        <v>0</v>
      </c>
      <c r="O106" s="711">
        <f t="shared" si="20"/>
        <v>1</v>
      </c>
      <c r="P106" s="711">
        <f t="shared" ca="1" si="21"/>
        <v>0</v>
      </c>
      <c r="Q106" s="710">
        <f t="shared" ca="1" si="22"/>
        <v>0</v>
      </c>
      <c r="R106" s="711">
        <f t="shared" si="23"/>
        <v>3</v>
      </c>
      <c r="S106" s="711">
        <f t="shared" ca="1" si="24"/>
        <v>0</v>
      </c>
      <c r="T106" s="710">
        <f t="shared" ca="1" si="25"/>
        <v>0</v>
      </c>
      <c r="U106" s="711">
        <f t="shared" si="26"/>
        <v>1</v>
      </c>
      <c r="V106" s="711">
        <f t="shared" ca="1" si="27"/>
        <v>0</v>
      </c>
    </row>
    <row r="107" spans="1:22" x14ac:dyDescent="0.25">
      <c r="A107" t="s">
        <v>1079</v>
      </c>
      <c r="B107" s="615">
        <v>2</v>
      </c>
      <c r="C107" t="s">
        <v>1829</v>
      </c>
      <c r="D107" t="s">
        <v>1860</v>
      </c>
      <c r="E107" s="615">
        <f ca="1">VLOOKUP(A107,Data!C:I,7,FALSE)</f>
        <v>0</v>
      </c>
      <c r="F107" s="709" t="str">
        <f t="shared" si="14"/>
        <v>PR.AC-52</v>
      </c>
      <c r="G107" s="709" t="str">
        <f t="shared" ca="1" si="15"/>
        <v>PR.AC-520</v>
      </c>
      <c r="I107" s="24"/>
      <c r="J107" s="24" t="s">
        <v>1934</v>
      </c>
      <c r="K107" s="710">
        <f t="shared" ca="1" si="16"/>
        <v>0</v>
      </c>
      <c r="L107" s="711">
        <f t="shared" si="17"/>
        <v>5</v>
      </c>
      <c r="M107" s="711">
        <f t="shared" ca="1" si="18"/>
        <v>0</v>
      </c>
      <c r="N107" s="710">
        <f t="shared" ca="1" si="19"/>
        <v>0</v>
      </c>
      <c r="O107" s="711">
        <f t="shared" si="20"/>
        <v>1</v>
      </c>
      <c r="P107" s="711">
        <f t="shared" ca="1" si="21"/>
        <v>0</v>
      </c>
      <c r="Q107" s="710">
        <f t="shared" ca="1" si="22"/>
        <v>0</v>
      </c>
      <c r="R107" s="711">
        <f t="shared" si="23"/>
        <v>1</v>
      </c>
      <c r="S107" s="711">
        <f t="shared" ca="1" si="24"/>
        <v>0</v>
      </c>
      <c r="T107" s="710">
        <f t="shared" ca="1" si="25"/>
        <v>0</v>
      </c>
      <c r="U107" s="711">
        <f t="shared" si="26"/>
        <v>3</v>
      </c>
      <c r="V107" s="711">
        <f t="shared" ca="1" si="27"/>
        <v>0</v>
      </c>
    </row>
    <row r="108" spans="1:22" x14ac:dyDescent="0.25">
      <c r="A108" t="s">
        <v>1079</v>
      </c>
      <c r="B108" s="615">
        <v>2</v>
      </c>
      <c r="C108" t="s">
        <v>1829</v>
      </c>
      <c r="D108" t="s">
        <v>1861</v>
      </c>
      <c r="E108" s="615">
        <f ca="1">VLOOKUP(A108,Data!C:I,7,FALSE)</f>
        <v>0</v>
      </c>
      <c r="F108" s="709" t="str">
        <f t="shared" si="14"/>
        <v>PR.PT-42</v>
      </c>
      <c r="G108" s="709" t="str">
        <f t="shared" ca="1" si="15"/>
        <v>PR.PT-420</v>
      </c>
      <c r="I108" s="24" t="s">
        <v>2168</v>
      </c>
      <c r="J108" s="24" t="s">
        <v>1909</v>
      </c>
      <c r="K108" s="710">
        <f t="shared" ca="1" si="16"/>
        <v>0</v>
      </c>
      <c r="L108" s="711">
        <f t="shared" si="17"/>
        <v>5</v>
      </c>
      <c r="M108" s="711">
        <f t="shared" ca="1" si="18"/>
        <v>0</v>
      </c>
      <c r="N108" s="710">
        <f t="shared" ca="1" si="19"/>
        <v>0</v>
      </c>
      <c r="O108" s="711">
        <f t="shared" si="20"/>
        <v>1</v>
      </c>
      <c r="P108" s="711">
        <f t="shared" ca="1" si="21"/>
        <v>0</v>
      </c>
      <c r="Q108" s="710">
        <f t="shared" ca="1" si="22"/>
        <v>0</v>
      </c>
      <c r="R108" s="711">
        <f t="shared" si="23"/>
        <v>2</v>
      </c>
      <c r="S108" s="711">
        <f t="shared" ca="1" si="24"/>
        <v>0</v>
      </c>
      <c r="T108" s="710">
        <f t="shared" ca="1" si="25"/>
        <v>0</v>
      </c>
      <c r="U108" s="711">
        <f t="shared" si="26"/>
        <v>2</v>
      </c>
      <c r="V108" s="711">
        <f t="shared" ca="1" si="27"/>
        <v>0</v>
      </c>
    </row>
    <row r="109" spans="1:22" x14ac:dyDescent="0.25">
      <c r="A109" t="s">
        <v>1080</v>
      </c>
      <c r="B109" s="615">
        <v>2</v>
      </c>
      <c r="C109" t="s">
        <v>1830</v>
      </c>
      <c r="D109" t="s">
        <v>1865</v>
      </c>
      <c r="E109" s="615">
        <f ca="1">VLOOKUP(A109,Data!C:I,7,FALSE)</f>
        <v>0</v>
      </c>
      <c r="F109" s="709" t="str">
        <f t="shared" si="14"/>
        <v>DE.CM-12</v>
      </c>
      <c r="G109" s="709" t="str">
        <f t="shared" ca="1" si="15"/>
        <v>DE.CM-120</v>
      </c>
      <c r="I109" s="24"/>
      <c r="J109" s="24" t="s">
        <v>1915</v>
      </c>
      <c r="K109" s="710">
        <f t="shared" ca="1" si="16"/>
        <v>0</v>
      </c>
      <c r="L109" s="711">
        <f t="shared" si="17"/>
        <v>2</v>
      </c>
      <c r="M109" s="711">
        <f t="shared" ca="1" si="18"/>
        <v>0</v>
      </c>
      <c r="N109" s="710">
        <f t="shared" si="19"/>
        <v>0</v>
      </c>
      <c r="O109" s="711">
        <f t="shared" si="20"/>
        <v>0</v>
      </c>
      <c r="P109" s="711">
        <f t="shared" ca="1" si="21"/>
        <v>0</v>
      </c>
      <c r="Q109" s="710">
        <f t="shared" ca="1" si="22"/>
        <v>0</v>
      </c>
      <c r="R109" s="711">
        <f t="shared" si="23"/>
        <v>1</v>
      </c>
      <c r="S109" s="711">
        <f t="shared" ca="1" si="24"/>
        <v>0</v>
      </c>
      <c r="T109" s="710">
        <f t="shared" ca="1" si="25"/>
        <v>0</v>
      </c>
      <c r="U109" s="711">
        <f t="shared" si="26"/>
        <v>1</v>
      </c>
      <c r="V109" s="711">
        <f t="shared" ca="1" si="27"/>
        <v>0</v>
      </c>
    </row>
    <row r="110" spans="1:22" x14ac:dyDescent="0.25">
      <c r="A110" t="s">
        <v>1080</v>
      </c>
      <c r="B110" s="615">
        <v>2</v>
      </c>
      <c r="C110" t="s">
        <v>1829</v>
      </c>
      <c r="D110" t="s">
        <v>1860</v>
      </c>
      <c r="E110" s="615">
        <f ca="1">VLOOKUP(A110,Data!C:I,7,FALSE)</f>
        <v>0</v>
      </c>
      <c r="F110" s="709" t="str">
        <f t="shared" si="14"/>
        <v>PR.AC-52</v>
      </c>
      <c r="G110" s="709" t="str">
        <f t="shared" ca="1" si="15"/>
        <v>PR.AC-520</v>
      </c>
      <c r="I110" s="24"/>
      <c r="J110" s="24" t="s">
        <v>1927</v>
      </c>
      <c r="K110" s="710">
        <f t="shared" ca="1" si="16"/>
        <v>0</v>
      </c>
      <c r="L110" s="711">
        <f t="shared" si="17"/>
        <v>1</v>
      </c>
      <c r="M110" s="711">
        <f t="shared" ca="1" si="18"/>
        <v>0</v>
      </c>
      <c r="N110" s="710">
        <f t="shared" si="19"/>
        <v>0</v>
      </c>
      <c r="O110" s="711">
        <f t="shared" si="20"/>
        <v>0</v>
      </c>
      <c r="P110" s="711">
        <f t="shared" ca="1" si="21"/>
        <v>0</v>
      </c>
      <c r="Q110" s="710">
        <f t="shared" si="22"/>
        <v>0</v>
      </c>
      <c r="R110" s="711">
        <f t="shared" si="23"/>
        <v>0</v>
      </c>
      <c r="S110" s="711">
        <f t="shared" ca="1" si="24"/>
        <v>0</v>
      </c>
      <c r="T110" s="710">
        <f t="shared" ca="1" si="25"/>
        <v>0</v>
      </c>
      <c r="U110" s="711">
        <f t="shared" si="26"/>
        <v>1</v>
      </c>
      <c r="V110" s="711">
        <f t="shared" ca="1" si="27"/>
        <v>0</v>
      </c>
    </row>
    <row r="111" spans="1:22" x14ac:dyDescent="0.25">
      <c r="A111" t="s">
        <v>1080</v>
      </c>
      <c r="B111" s="615">
        <v>2</v>
      </c>
      <c r="C111" t="s">
        <v>1829</v>
      </c>
      <c r="D111" t="s">
        <v>1861</v>
      </c>
      <c r="E111" s="615">
        <f ca="1">VLOOKUP(A111,Data!C:I,7,FALSE)</f>
        <v>0</v>
      </c>
      <c r="F111" s="709" t="str">
        <f t="shared" si="14"/>
        <v>PR.PT-42</v>
      </c>
      <c r="G111" s="709" t="str">
        <f t="shared" ca="1" si="15"/>
        <v>PR.PT-420</v>
      </c>
      <c r="I111" s="24"/>
      <c r="J111" s="24" t="s">
        <v>1913</v>
      </c>
      <c r="K111" s="710">
        <f t="shared" ca="1" si="16"/>
        <v>0</v>
      </c>
      <c r="L111" s="711">
        <f t="shared" si="17"/>
        <v>4</v>
      </c>
      <c r="M111" s="711">
        <f t="shared" ca="1" si="18"/>
        <v>0</v>
      </c>
      <c r="N111" s="710">
        <f t="shared" ca="1" si="19"/>
        <v>0</v>
      </c>
      <c r="O111" s="711">
        <f t="shared" si="20"/>
        <v>1</v>
      </c>
      <c r="P111" s="711">
        <f t="shared" ca="1" si="21"/>
        <v>0</v>
      </c>
      <c r="Q111" s="710">
        <f t="shared" ca="1" si="22"/>
        <v>0</v>
      </c>
      <c r="R111" s="711">
        <f t="shared" si="23"/>
        <v>2</v>
      </c>
      <c r="S111" s="711">
        <f t="shared" ca="1" si="24"/>
        <v>0</v>
      </c>
      <c r="T111" s="710">
        <f t="shared" ca="1" si="25"/>
        <v>0</v>
      </c>
      <c r="U111" s="711">
        <f t="shared" si="26"/>
        <v>1</v>
      </c>
      <c r="V111" s="711">
        <f t="shared" ca="1" si="27"/>
        <v>0</v>
      </c>
    </row>
    <row r="112" spans="1:22" x14ac:dyDescent="0.25">
      <c r="A112" t="s">
        <v>1081</v>
      </c>
      <c r="B112" s="615">
        <v>2</v>
      </c>
      <c r="C112" t="s">
        <v>1830</v>
      </c>
      <c r="D112" t="s">
        <v>1865</v>
      </c>
      <c r="E112" s="615">
        <f ca="1">VLOOKUP(A112,Data!C:I,7,FALSE)</f>
        <v>0</v>
      </c>
      <c r="F112" s="709" t="str">
        <f t="shared" si="14"/>
        <v>DE.CM-12</v>
      </c>
      <c r="G112" s="709" t="str">
        <f t="shared" ca="1" si="15"/>
        <v>DE.CM-120</v>
      </c>
      <c r="I112" s="24"/>
      <c r="J112" s="24" t="s">
        <v>1939</v>
      </c>
      <c r="K112" s="710">
        <f t="shared" ca="1" si="16"/>
        <v>0</v>
      </c>
      <c r="L112" s="711">
        <f t="shared" si="17"/>
        <v>11</v>
      </c>
      <c r="M112" s="711">
        <f t="shared" ca="1" si="18"/>
        <v>0</v>
      </c>
      <c r="N112" s="710">
        <f t="shared" ca="1" si="19"/>
        <v>0</v>
      </c>
      <c r="O112" s="711">
        <f t="shared" si="20"/>
        <v>4</v>
      </c>
      <c r="P112" s="711">
        <f t="shared" ca="1" si="21"/>
        <v>0</v>
      </c>
      <c r="Q112" s="710">
        <f t="shared" ca="1" si="22"/>
        <v>0</v>
      </c>
      <c r="R112" s="711">
        <f t="shared" si="23"/>
        <v>3</v>
      </c>
      <c r="S112" s="711">
        <f t="shared" ca="1" si="24"/>
        <v>0</v>
      </c>
      <c r="T112" s="710">
        <f t="shared" ca="1" si="25"/>
        <v>0</v>
      </c>
      <c r="U112" s="711">
        <f t="shared" si="26"/>
        <v>4</v>
      </c>
      <c r="V112" s="711">
        <f t="shared" ca="1" si="27"/>
        <v>0</v>
      </c>
    </row>
    <row r="113" spans="1:22" x14ac:dyDescent="0.25">
      <c r="A113" t="s">
        <v>1081</v>
      </c>
      <c r="B113" s="615">
        <v>2</v>
      </c>
      <c r="C113" t="s">
        <v>1830</v>
      </c>
      <c r="D113" t="s">
        <v>1851</v>
      </c>
      <c r="E113" s="615">
        <f ca="1">VLOOKUP(A113,Data!C:I,7,FALSE)</f>
        <v>0</v>
      </c>
      <c r="F113" s="709" t="str">
        <f t="shared" si="14"/>
        <v>DE.CM-32</v>
      </c>
      <c r="G113" s="709" t="str">
        <f t="shared" ca="1" si="15"/>
        <v>DE.CM-320</v>
      </c>
      <c r="I113" s="24" t="s">
        <v>2176</v>
      </c>
      <c r="J113" s="24" t="s">
        <v>1919</v>
      </c>
      <c r="K113" s="710">
        <f t="shared" ca="1" si="16"/>
        <v>0</v>
      </c>
      <c r="L113" s="711">
        <f t="shared" si="17"/>
        <v>1</v>
      </c>
      <c r="M113" s="711">
        <f t="shared" ca="1" si="18"/>
        <v>0</v>
      </c>
      <c r="N113" s="710">
        <f t="shared" ca="1" si="19"/>
        <v>0</v>
      </c>
      <c r="O113" s="711">
        <f t="shared" si="20"/>
        <v>1</v>
      </c>
      <c r="P113" s="711">
        <f t="shared" ca="1" si="21"/>
        <v>0</v>
      </c>
      <c r="Q113" s="710">
        <f t="shared" si="22"/>
        <v>0</v>
      </c>
      <c r="R113" s="711">
        <f t="shared" si="23"/>
        <v>0</v>
      </c>
      <c r="S113" s="711">
        <f t="shared" ca="1" si="24"/>
        <v>0</v>
      </c>
      <c r="T113" s="710">
        <f t="shared" si="25"/>
        <v>0</v>
      </c>
      <c r="U113" s="711">
        <f t="shared" si="26"/>
        <v>0</v>
      </c>
      <c r="V113" s="711">
        <f t="shared" ca="1" si="27"/>
        <v>0</v>
      </c>
    </row>
    <row r="114" spans="1:22" x14ac:dyDescent="0.25">
      <c r="A114" t="s">
        <v>1081</v>
      </c>
      <c r="B114" s="615">
        <v>2</v>
      </c>
      <c r="C114" t="s">
        <v>1830</v>
      </c>
      <c r="D114" t="s">
        <v>1853</v>
      </c>
      <c r="E114" s="615">
        <f ca="1">VLOOKUP(A114,Data!C:I,7,FALSE)</f>
        <v>0</v>
      </c>
      <c r="F114" s="709" t="str">
        <f t="shared" si="14"/>
        <v>DE.CM-72</v>
      </c>
      <c r="G114" s="709" t="str">
        <f t="shared" ca="1" si="15"/>
        <v>DE.CM-720</v>
      </c>
      <c r="I114" s="24"/>
      <c r="J114" s="24" t="s">
        <v>1920</v>
      </c>
      <c r="K114" s="710">
        <f t="shared" ca="1" si="16"/>
        <v>0</v>
      </c>
      <c r="L114" s="711">
        <f t="shared" si="17"/>
        <v>1</v>
      </c>
      <c r="M114" s="711">
        <f t="shared" ca="1" si="18"/>
        <v>0</v>
      </c>
      <c r="N114" s="710">
        <f t="shared" ca="1" si="19"/>
        <v>0</v>
      </c>
      <c r="O114" s="711">
        <f t="shared" si="20"/>
        <v>1</v>
      </c>
      <c r="P114" s="711">
        <f t="shared" ca="1" si="21"/>
        <v>0</v>
      </c>
      <c r="Q114" s="710">
        <f t="shared" si="22"/>
        <v>0</v>
      </c>
      <c r="R114" s="711">
        <f t="shared" si="23"/>
        <v>0</v>
      </c>
      <c r="S114" s="711">
        <f t="shared" ca="1" si="24"/>
        <v>0</v>
      </c>
      <c r="T114" s="710">
        <f t="shared" si="25"/>
        <v>0</v>
      </c>
      <c r="U114" s="711">
        <f t="shared" si="26"/>
        <v>0</v>
      </c>
      <c r="V114" s="711">
        <f t="shared" ca="1" si="27"/>
        <v>0</v>
      </c>
    </row>
    <row r="115" spans="1:22" x14ac:dyDescent="0.25">
      <c r="A115" t="s">
        <v>1082</v>
      </c>
      <c r="B115" s="615">
        <v>3</v>
      </c>
      <c r="C115" t="s">
        <v>1829</v>
      </c>
      <c r="D115" t="s">
        <v>1860</v>
      </c>
      <c r="E115" s="615">
        <f ca="1">VLOOKUP(A115,Data!C:I,7,FALSE)</f>
        <v>0</v>
      </c>
      <c r="F115" s="709" t="str">
        <f t="shared" si="14"/>
        <v>PR.AC-53</v>
      </c>
      <c r="G115" s="709" t="str">
        <f t="shared" ca="1" si="15"/>
        <v>PR.AC-530</v>
      </c>
      <c r="I115" s="24"/>
      <c r="J115" s="24" t="s">
        <v>1929</v>
      </c>
      <c r="K115" s="710">
        <f t="shared" ca="1" si="16"/>
        <v>0</v>
      </c>
      <c r="L115" s="711">
        <f t="shared" si="17"/>
        <v>6</v>
      </c>
      <c r="M115" s="711">
        <f t="shared" ca="1" si="18"/>
        <v>0</v>
      </c>
      <c r="N115" s="710">
        <f t="shared" ca="1" si="19"/>
        <v>0</v>
      </c>
      <c r="O115" s="711">
        <f t="shared" si="20"/>
        <v>1</v>
      </c>
      <c r="P115" s="711">
        <f t="shared" ca="1" si="21"/>
        <v>0</v>
      </c>
      <c r="Q115" s="710">
        <f t="shared" ca="1" si="22"/>
        <v>0</v>
      </c>
      <c r="R115" s="711">
        <f t="shared" si="23"/>
        <v>2</v>
      </c>
      <c r="S115" s="711">
        <f t="shared" ca="1" si="24"/>
        <v>0</v>
      </c>
      <c r="T115" s="710">
        <f t="shared" ca="1" si="25"/>
        <v>0</v>
      </c>
      <c r="U115" s="711">
        <f t="shared" si="26"/>
        <v>3</v>
      </c>
      <c r="V115" s="711">
        <f t="shared" ca="1" si="27"/>
        <v>0</v>
      </c>
    </row>
    <row r="116" spans="1:22" x14ac:dyDescent="0.25">
      <c r="A116" t="s">
        <v>1082</v>
      </c>
      <c r="B116" s="615">
        <v>3</v>
      </c>
      <c r="C116" t="s">
        <v>1829</v>
      </c>
      <c r="D116" t="s">
        <v>1861</v>
      </c>
      <c r="E116" s="615">
        <f ca="1">VLOOKUP(A116,Data!C:I,7,FALSE)</f>
        <v>0</v>
      </c>
      <c r="F116" s="709" t="str">
        <f t="shared" si="14"/>
        <v>PR.PT-43</v>
      </c>
      <c r="G116" s="709" t="str">
        <f t="shared" ca="1" si="15"/>
        <v>PR.PT-430</v>
      </c>
      <c r="I116" s="24" t="s">
        <v>2182</v>
      </c>
      <c r="J116" s="24" t="s">
        <v>1925</v>
      </c>
      <c r="K116" s="710">
        <f t="shared" ca="1" si="16"/>
        <v>0</v>
      </c>
      <c r="L116" s="711">
        <f t="shared" si="17"/>
        <v>2</v>
      </c>
      <c r="M116" s="711">
        <f t="shared" ca="1" si="18"/>
        <v>0</v>
      </c>
      <c r="N116" s="710">
        <f t="shared" si="19"/>
        <v>0</v>
      </c>
      <c r="O116" s="711">
        <f t="shared" si="20"/>
        <v>0</v>
      </c>
      <c r="P116" s="711">
        <f t="shared" ca="1" si="21"/>
        <v>0</v>
      </c>
      <c r="Q116" s="710">
        <f t="shared" ca="1" si="22"/>
        <v>0</v>
      </c>
      <c r="R116" s="711">
        <f t="shared" si="23"/>
        <v>1</v>
      </c>
      <c r="S116" s="711">
        <f t="shared" ca="1" si="24"/>
        <v>0</v>
      </c>
      <c r="T116" s="710">
        <f t="shared" ca="1" si="25"/>
        <v>0</v>
      </c>
      <c r="U116" s="711">
        <f t="shared" si="26"/>
        <v>1</v>
      </c>
      <c r="V116" s="711">
        <f t="shared" ca="1" si="27"/>
        <v>0</v>
      </c>
    </row>
    <row r="117" spans="1:22" x14ac:dyDescent="0.25">
      <c r="A117" t="s">
        <v>1083</v>
      </c>
      <c r="B117" s="615">
        <v>3</v>
      </c>
      <c r="C117" t="s">
        <v>1829</v>
      </c>
      <c r="D117" t="s">
        <v>1860</v>
      </c>
      <c r="E117" s="615">
        <f ca="1">VLOOKUP(A117,Data!C:I,7,FALSE)</f>
        <v>0</v>
      </c>
      <c r="F117" s="709" t="str">
        <f t="shared" si="14"/>
        <v>PR.AC-53</v>
      </c>
      <c r="G117" s="709" t="str">
        <f t="shared" ca="1" si="15"/>
        <v>PR.AC-530</v>
      </c>
      <c r="I117" s="24"/>
      <c r="J117" s="24" t="s">
        <v>1926</v>
      </c>
      <c r="K117" s="710">
        <f t="shared" ca="1" si="16"/>
        <v>0</v>
      </c>
      <c r="L117" s="711">
        <f t="shared" si="17"/>
        <v>2</v>
      </c>
      <c r="M117" s="711">
        <f t="shared" ca="1" si="18"/>
        <v>0</v>
      </c>
      <c r="N117" s="710">
        <f t="shared" si="19"/>
        <v>0</v>
      </c>
      <c r="O117" s="711">
        <f t="shared" si="20"/>
        <v>0</v>
      </c>
      <c r="P117" s="711">
        <f t="shared" ca="1" si="21"/>
        <v>0</v>
      </c>
      <c r="Q117" s="710">
        <f t="shared" ca="1" si="22"/>
        <v>0</v>
      </c>
      <c r="R117" s="711">
        <f t="shared" si="23"/>
        <v>1</v>
      </c>
      <c r="S117" s="711">
        <f t="shared" ca="1" si="24"/>
        <v>0</v>
      </c>
      <c r="T117" s="710">
        <f t="shared" ca="1" si="25"/>
        <v>0</v>
      </c>
      <c r="U117" s="711">
        <f t="shared" si="26"/>
        <v>1</v>
      </c>
      <c r="V117" s="711">
        <f t="shared" ca="1" si="27"/>
        <v>0</v>
      </c>
    </row>
    <row r="118" spans="1:22" x14ac:dyDescent="0.25">
      <c r="A118" t="s">
        <v>1083</v>
      </c>
      <c r="B118" s="615">
        <v>3</v>
      </c>
      <c r="C118" t="s">
        <v>1829</v>
      </c>
      <c r="D118" t="s">
        <v>1848</v>
      </c>
      <c r="E118" s="615">
        <f ca="1">VLOOKUP(A118,Data!C:I,7,FALSE)</f>
        <v>0</v>
      </c>
      <c r="F118" s="709" t="str">
        <f t="shared" si="14"/>
        <v>PR.PT-33</v>
      </c>
      <c r="G118" s="709" t="str">
        <f t="shared" ca="1" si="15"/>
        <v>PR.PT-330</v>
      </c>
      <c r="I118" s="24" t="s">
        <v>2187</v>
      </c>
      <c r="J118" s="24" t="s">
        <v>1918</v>
      </c>
      <c r="K118" s="710">
        <f t="shared" ca="1" si="16"/>
        <v>0</v>
      </c>
      <c r="L118" s="711">
        <f t="shared" si="17"/>
        <v>7</v>
      </c>
      <c r="M118" s="711">
        <f t="shared" ca="1" si="18"/>
        <v>0</v>
      </c>
      <c r="N118" s="710">
        <f t="shared" ca="1" si="19"/>
        <v>0</v>
      </c>
      <c r="O118" s="711">
        <f t="shared" si="20"/>
        <v>1</v>
      </c>
      <c r="P118" s="711">
        <f t="shared" ca="1" si="21"/>
        <v>0</v>
      </c>
      <c r="Q118" s="710">
        <f t="shared" ca="1" si="22"/>
        <v>0</v>
      </c>
      <c r="R118" s="711">
        <f t="shared" si="23"/>
        <v>3</v>
      </c>
      <c r="S118" s="711">
        <f t="shared" ca="1" si="24"/>
        <v>0</v>
      </c>
      <c r="T118" s="710">
        <f t="shared" ca="1" si="25"/>
        <v>0</v>
      </c>
      <c r="U118" s="711">
        <f t="shared" si="26"/>
        <v>3</v>
      </c>
      <c r="V118" s="711">
        <f t="shared" ca="1" si="27"/>
        <v>0</v>
      </c>
    </row>
    <row r="119" spans="1:22" x14ac:dyDescent="0.25">
      <c r="A119" t="s">
        <v>1083</v>
      </c>
      <c r="B119" s="615">
        <v>3</v>
      </c>
      <c r="C119" t="s">
        <v>1829</v>
      </c>
      <c r="D119" t="s">
        <v>1861</v>
      </c>
      <c r="E119" s="615">
        <f ca="1">VLOOKUP(A119,Data!C:I,7,FALSE)</f>
        <v>0</v>
      </c>
      <c r="F119" s="709" t="str">
        <f t="shared" si="14"/>
        <v>PR.PT-43</v>
      </c>
      <c r="G119" s="709" t="str">
        <f t="shared" ca="1" si="15"/>
        <v>PR.PT-430</v>
      </c>
      <c r="I119" s="24" t="s">
        <v>2191</v>
      </c>
      <c r="J119" s="24" t="s">
        <v>1923</v>
      </c>
      <c r="K119" s="710">
        <f t="shared" ca="1" si="16"/>
        <v>0</v>
      </c>
      <c r="L119" s="711">
        <f t="shared" si="17"/>
        <v>4</v>
      </c>
      <c r="M119" s="711">
        <f t="shared" ca="1" si="18"/>
        <v>0</v>
      </c>
      <c r="N119" s="710">
        <f t="shared" si="19"/>
        <v>0</v>
      </c>
      <c r="O119" s="711">
        <f t="shared" si="20"/>
        <v>0</v>
      </c>
      <c r="P119" s="711">
        <f t="shared" ca="1" si="21"/>
        <v>0</v>
      </c>
      <c r="Q119" s="710">
        <f t="shared" ca="1" si="22"/>
        <v>0</v>
      </c>
      <c r="R119" s="711">
        <f t="shared" si="23"/>
        <v>1</v>
      </c>
      <c r="S119" s="711">
        <f t="shared" ca="1" si="24"/>
        <v>0</v>
      </c>
      <c r="T119" s="710">
        <f t="shared" ca="1" si="25"/>
        <v>0</v>
      </c>
      <c r="U119" s="711">
        <f t="shared" si="26"/>
        <v>3</v>
      </c>
      <c r="V119" s="711">
        <f t="shared" ca="1" si="27"/>
        <v>0</v>
      </c>
    </row>
    <row r="120" spans="1:22" x14ac:dyDescent="0.25">
      <c r="A120" t="s">
        <v>1084</v>
      </c>
      <c r="B120" s="615">
        <v>3</v>
      </c>
      <c r="C120" t="s">
        <v>1829</v>
      </c>
      <c r="D120" t="s">
        <v>1860</v>
      </c>
      <c r="E120" s="615">
        <f ca="1">VLOOKUP(A120,Data!C:I,7,FALSE)</f>
        <v>0</v>
      </c>
      <c r="F120" s="709" t="str">
        <f t="shared" si="14"/>
        <v>PR.AC-53</v>
      </c>
      <c r="G120" s="709" t="str">
        <f t="shared" ca="1" si="15"/>
        <v>PR.AC-530</v>
      </c>
      <c r="I120" s="24"/>
      <c r="J120" s="24" t="s">
        <v>1924</v>
      </c>
      <c r="K120" s="710">
        <f t="shared" ca="1" si="16"/>
        <v>0</v>
      </c>
      <c r="L120" s="711">
        <f t="shared" si="17"/>
        <v>5</v>
      </c>
      <c r="M120" s="711">
        <f t="shared" ca="1" si="18"/>
        <v>0</v>
      </c>
      <c r="N120" s="710">
        <f t="shared" si="19"/>
        <v>0</v>
      </c>
      <c r="O120" s="711">
        <f t="shared" si="20"/>
        <v>0</v>
      </c>
      <c r="P120" s="711">
        <f t="shared" ca="1" si="21"/>
        <v>0</v>
      </c>
      <c r="Q120" s="710">
        <f t="shared" ca="1" si="22"/>
        <v>0</v>
      </c>
      <c r="R120" s="711">
        <f t="shared" si="23"/>
        <v>1</v>
      </c>
      <c r="S120" s="711">
        <f t="shared" ca="1" si="24"/>
        <v>0</v>
      </c>
      <c r="T120" s="710">
        <f t="shared" ca="1" si="25"/>
        <v>0</v>
      </c>
      <c r="U120" s="711">
        <f t="shared" si="26"/>
        <v>4</v>
      </c>
      <c r="V120" s="711">
        <f t="shared" ca="1" si="27"/>
        <v>0</v>
      </c>
    </row>
    <row r="121" spans="1:22" x14ac:dyDescent="0.25">
      <c r="A121" t="s">
        <v>1084</v>
      </c>
      <c r="B121" s="615">
        <v>3</v>
      </c>
      <c r="C121" t="s">
        <v>1829</v>
      </c>
      <c r="D121" t="s">
        <v>1862</v>
      </c>
      <c r="E121" s="615">
        <f ca="1">VLOOKUP(A121,Data!C:I,7,FALSE)</f>
        <v>0</v>
      </c>
      <c r="F121" s="709" t="str">
        <f t="shared" si="14"/>
        <v>PR.DS-43</v>
      </c>
      <c r="G121" s="709" t="str">
        <f t="shared" ca="1" si="15"/>
        <v>PR.DS-430</v>
      </c>
      <c r="I121" s="24" t="s">
        <v>2195</v>
      </c>
      <c r="J121" s="24" t="s">
        <v>2197</v>
      </c>
      <c r="K121" s="710">
        <f t="shared" si="16"/>
        <v>0</v>
      </c>
      <c r="L121" s="711">
        <f t="shared" si="17"/>
        <v>0</v>
      </c>
      <c r="M121" s="711">
        <f t="shared" ca="1" si="18"/>
        <v>0</v>
      </c>
      <c r="N121" s="710">
        <f t="shared" si="19"/>
        <v>0</v>
      </c>
      <c r="O121" s="711">
        <f t="shared" si="20"/>
        <v>0</v>
      </c>
      <c r="P121" s="711">
        <f t="shared" ca="1" si="21"/>
        <v>0</v>
      </c>
      <c r="Q121" s="710">
        <f t="shared" si="22"/>
        <v>0</v>
      </c>
      <c r="R121" s="711">
        <f t="shared" si="23"/>
        <v>0</v>
      </c>
      <c r="S121" s="711">
        <f t="shared" ca="1" si="24"/>
        <v>0</v>
      </c>
      <c r="T121" s="710">
        <f t="shared" si="25"/>
        <v>0</v>
      </c>
      <c r="U121" s="711">
        <f t="shared" si="26"/>
        <v>0</v>
      </c>
      <c r="V121" s="711">
        <f t="shared" ca="1" si="27"/>
        <v>0</v>
      </c>
    </row>
    <row r="122" spans="1:22" x14ac:dyDescent="0.25">
      <c r="A122" t="s">
        <v>1084</v>
      </c>
      <c r="B122" s="615">
        <v>3</v>
      </c>
      <c r="C122" t="s">
        <v>1829</v>
      </c>
      <c r="D122" t="s">
        <v>1861</v>
      </c>
      <c r="E122" s="615">
        <f ca="1">VLOOKUP(A122,Data!C:I,7,FALSE)</f>
        <v>0</v>
      </c>
      <c r="F122" s="709" t="str">
        <f t="shared" si="14"/>
        <v>PR.PT-43</v>
      </c>
      <c r="G122" s="709" t="str">
        <f t="shared" ca="1" si="15"/>
        <v>PR.PT-430</v>
      </c>
      <c r="I122" s="24"/>
      <c r="J122" s="24" t="s">
        <v>1921</v>
      </c>
      <c r="K122" s="710">
        <f t="shared" ca="1" si="16"/>
        <v>0</v>
      </c>
      <c r="L122" s="711">
        <f t="shared" si="17"/>
        <v>1</v>
      </c>
      <c r="M122" s="711">
        <f t="shared" ca="1" si="18"/>
        <v>0</v>
      </c>
      <c r="N122" s="710">
        <f t="shared" si="19"/>
        <v>0</v>
      </c>
      <c r="O122" s="711">
        <f t="shared" si="20"/>
        <v>0</v>
      </c>
      <c r="P122" s="711">
        <f t="shared" ca="1" si="21"/>
        <v>0</v>
      </c>
      <c r="Q122" s="710">
        <f t="shared" ca="1" si="22"/>
        <v>0</v>
      </c>
      <c r="R122" s="711">
        <f t="shared" si="23"/>
        <v>1</v>
      </c>
      <c r="S122" s="711">
        <f t="shared" ca="1" si="24"/>
        <v>0</v>
      </c>
      <c r="T122" s="710">
        <f t="shared" si="25"/>
        <v>0</v>
      </c>
      <c r="U122" s="711">
        <f t="shared" si="26"/>
        <v>0</v>
      </c>
      <c r="V122" s="711">
        <f t="shared" ca="1" si="27"/>
        <v>0</v>
      </c>
    </row>
    <row r="123" spans="1:22" x14ac:dyDescent="0.25">
      <c r="A123" t="s">
        <v>1085</v>
      </c>
      <c r="B123" s="615">
        <v>3</v>
      </c>
      <c r="C123" t="s">
        <v>1829</v>
      </c>
      <c r="D123" t="s">
        <v>1860</v>
      </c>
      <c r="E123" s="615">
        <f ca="1">VLOOKUP(A123,Data!C:I,7,FALSE)</f>
        <v>0</v>
      </c>
      <c r="F123" s="709" t="str">
        <f t="shared" si="14"/>
        <v>PR.AC-53</v>
      </c>
      <c r="G123" s="709" t="str">
        <f t="shared" ca="1" si="15"/>
        <v>PR.AC-530</v>
      </c>
      <c r="I123" s="24"/>
      <c r="J123" s="24" t="s">
        <v>1917</v>
      </c>
      <c r="K123" s="710">
        <f t="shared" ca="1" si="16"/>
        <v>0</v>
      </c>
      <c r="L123" s="711">
        <f t="shared" si="17"/>
        <v>4</v>
      </c>
      <c r="M123" s="711">
        <f t="shared" ca="1" si="18"/>
        <v>0</v>
      </c>
      <c r="N123" s="710">
        <f t="shared" si="19"/>
        <v>0</v>
      </c>
      <c r="O123" s="711">
        <f t="shared" si="20"/>
        <v>0</v>
      </c>
      <c r="P123" s="711">
        <f t="shared" ca="1" si="21"/>
        <v>0</v>
      </c>
      <c r="Q123" s="710">
        <f t="shared" ca="1" si="22"/>
        <v>0</v>
      </c>
      <c r="R123" s="711">
        <f t="shared" si="23"/>
        <v>3</v>
      </c>
      <c r="S123" s="711">
        <f t="shared" ca="1" si="24"/>
        <v>0</v>
      </c>
      <c r="T123" s="710">
        <f t="shared" ca="1" si="25"/>
        <v>0</v>
      </c>
      <c r="U123" s="711">
        <f t="shared" si="26"/>
        <v>1</v>
      </c>
      <c r="V123" s="711">
        <f t="shared" ca="1" si="27"/>
        <v>0</v>
      </c>
    </row>
    <row r="124" spans="1:22" x14ac:dyDescent="0.25">
      <c r="A124" t="s">
        <v>1085</v>
      </c>
      <c r="B124" s="615">
        <v>3</v>
      </c>
      <c r="C124" t="s">
        <v>1829</v>
      </c>
      <c r="D124" t="s">
        <v>1861</v>
      </c>
      <c r="E124" s="615">
        <f ca="1">VLOOKUP(A124,Data!C:I,7,FALSE)</f>
        <v>0</v>
      </c>
      <c r="F124" s="709" t="str">
        <f t="shared" si="14"/>
        <v>PR.PT-43</v>
      </c>
      <c r="G124" s="709" t="str">
        <f t="shared" ca="1" si="15"/>
        <v>PR.PT-430</v>
      </c>
    </row>
    <row r="125" spans="1:22" x14ac:dyDescent="0.25">
      <c r="A125" t="s">
        <v>1086</v>
      </c>
      <c r="B125" s="615">
        <v>3</v>
      </c>
      <c r="C125" t="s">
        <v>1829</v>
      </c>
      <c r="D125" t="s">
        <v>1860</v>
      </c>
      <c r="E125" s="615">
        <f ca="1">VLOOKUP(A125,Data!C:I,7,FALSE)</f>
        <v>0</v>
      </c>
      <c r="F125" s="709" t="str">
        <f t="shared" si="14"/>
        <v>PR.AC-53</v>
      </c>
      <c r="G125" s="709" t="str">
        <f t="shared" ca="1" si="15"/>
        <v>PR.AC-530</v>
      </c>
    </row>
    <row r="126" spans="1:22" x14ac:dyDescent="0.25">
      <c r="A126" t="s">
        <v>1086</v>
      </c>
      <c r="B126" s="615">
        <v>3</v>
      </c>
      <c r="C126" t="s">
        <v>1829</v>
      </c>
      <c r="D126" t="s">
        <v>1861</v>
      </c>
      <c r="E126" s="615">
        <f ca="1">VLOOKUP(A126,Data!C:I,7,FALSE)</f>
        <v>0</v>
      </c>
      <c r="F126" s="709" t="str">
        <f t="shared" si="14"/>
        <v>PR.PT-43</v>
      </c>
      <c r="G126" s="709" t="str">
        <f t="shared" ca="1" si="15"/>
        <v>PR.PT-430</v>
      </c>
    </row>
    <row r="127" spans="1:22" x14ac:dyDescent="0.25">
      <c r="A127" t="s">
        <v>1087</v>
      </c>
      <c r="B127" s="615">
        <v>3</v>
      </c>
      <c r="C127" t="s">
        <v>1829</v>
      </c>
      <c r="D127" t="s">
        <v>1860</v>
      </c>
      <c r="E127" s="615">
        <f ca="1">VLOOKUP(A127,Data!C:I,7,FALSE)</f>
        <v>0</v>
      </c>
      <c r="F127" s="709" t="str">
        <f t="shared" si="14"/>
        <v>PR.AC-53</v>
      </c>
      <c r="G127" s="709" t="str">
        <f t="shared" ca="1" si="15"/>
        <v>PR.AC-530</v>
      </c>
    </row>
    <row r="128" spans="1:22" x14ac:dyDescent="0.25">
      <c r="A128" t="s">
        <v>1087</v>
      </c>
      <c r="B128" s="615">
        <v>3</v>
      </c>
      <c r="C128" t="s">
        <v>1829</v>
      </c>
      <c r="D128" t="s">
        <v>1861</v>
      </c>
      <c r="E128" s="615">
        <f ca="1">VLOOKUP(A128,Data!C:I,7,FALSE)</f>
        <v>0</v>
      </c>
      <c r="F128" s="709" t="str">
        <f t="shared" si="14"/>
        <v>PR.PT-43</v>
      </c>
      <c r="G128" s="709" t="str">
        <f t="shared" ca="1" si="15"/>
        <v>PR.PT-430</v>
      </c>
    </row>
    <row r="129" spans="1:7" x14ac:dyDescent="0.25">
      <c r="A129" t="s">
        <v>1087</v>
      </c>
      <c r="B129" s="615">
        <v>3</v>
      </c>
      <c r="C129" t="s">
        <v>1829</v>
      </c>
      <c r="D129" t="s">
        <v>1864</v>
      </c>
      <c r="E129" s="615">
        <f ca="1">VLOOKUP(A129,Data!C:I,7,FALSE)</f>
        <v>0</v>
      </c>
      <c r="F129" s="709" t="str">
        <f t="shared" si="14"/>
        <v>PR.PT-53</v>
      </c>
      <c r="G129" s="709" t="str">
        <f t="shared" ca="1" si="15"/>
        <v>PR.PT-530</v>
      </c>
    </row>
    <row r="130" spans="1:7" x14ac:dyDescent="0.25">
      <c r="A130" t="s">
        <v>357</v>
      </c>
      <c r="B130" s="615">
        <v>1</v>
      </c>
      <c r="C130" t="s">
        <v>1829</v>
      </c>
      <c r="D130" t="s">
        <v>1843</v>
      </c>
      <c r="E130" s="615">
        <f ca="1">VLOOKUP(A130,Data!C:I,7,FALSE)</f>
        <v>0</v>
      </c>
      <c r="F130" s="709" t="str">
        <f t="shared" si="14"/>
        <v>PR.AC-11</v>
      </c>
      <c r="G130" s="709" t="str">
        <f t="shared" ca="1" si="15"/>
        <v>PR.AC-110</v>
      </c>
    </row>
    <row r="131" spans="1:7" x14ac:dyDescent="0.25">
      <c r="A131" t="s">
        <v>357</v>
      </c>
      <c r="B131" s="615">
        <v>1</v>
      </c>
      <c r="C131" t="s">
        <v>1829</v>
      </c>
      <c r="D131" t="s">
        <v>1854</v>
      </c>
      <c r="E131" s="615">
        <f ca="1">VLOOKUP(A131,Data!C:I,7,FALSE)</f>
        <v>0</v>
      </c>
      <c r="F131" s="709" t="str">
        <f t="shared" ref="F131:F194" si="28">CONCATENATE($D131,$B131)</f>
        <v>PR.AC-21</v>
      </c>
      <c r="G131" s="709" t="str">
        <f t="shared" ref="G131:G194" ca="1" si="29">_xlfn.IFNA(CONCATENATE(F131,$E131),CONCATENATE(F131,$E131,0))</f>
        <v>PR.AC-210</v>
      </c>
    </row>
    <row r="132" spans="1:7" x14ac:dyDescent="0.25">
      <c r="A132" t="s">
        <v>358</v>
      </c>
      <c r="B132" s="615">
        <v>2</v>
      </c>
      <c r="C132" t="s">
        <v>1829</v>
      </c>
      <c r="D132" t="s">
        <v>1843</v>
      </c>
      <c r="E132" s="615">
        <f ca="1">VLOOKUP(A132,Data!C:I,7,FALSE)</f>
        <v>0</v>
      </c>
      <c r="F132" s="709" t="str">
        <f t="shared" si="28"/>
        <v>PR.AC-12</v>
      </c>
      <c r="G132" s="709" t="str">
        <f t="shared" ca="1" si="29"/>
        <v>PR.AC-120</v>
      </c>
    </row>
    <row r="133" spans="1:7" x14ac:dyDescent="0.25">
      <c r="A133" t="s">
        <v>358</v>
      </c>
      <c r="B133" s="615">
        <v>2</v>
      </c>
      <c r="C133" t="s">
        <v>1829</v>
      </c>
      <c r="D133" t="s">
        <v>1854</v>
      </c>
      <c r="E133" s="615">
        <f ca="1">VLOOKUP(A133,Data!C:I,7,FALSE)</f>
        <v>0</v>
      </c>
      <c r="F133" s="709" t="str">
        <f t="shared" si="28"/>
        <v>PR.AC-22</v>
      </c>
      <c r="G133" s="709" t="str">
        <f t="shared" ca="1" si="29"/>
        <v>PR.AC-220</v>
      </c>
    </row>
    <row r="134" spans="1:7" x14ac:dyDescent="0.25">
      <c r="A134" t="s">
        <v>358</v>
      </c>
      <c r="B134" s="615">
        <v>2</v>
      </c>
      <c r="C134" t="s">
        <v>1829</v>
      </c>
      <c r="D134" t="s">
        <v>1845</v>
      </c>
      <c r="E134" s="615">
        <f ca="1">VLOOKUP(A134,Data!C:I,7,FALSE)</f>
        <v>0</v>
      </c>
      <c r="F134" s="709" t="str">
        <f t="shared" si="28"/>
        <v>PR.AC-72</v>
      </c>
      <c r="G134" s="709" t="str">
        <f t="shared" ca="1" si="29"/>
        <v>PR.AC-720</v>
      </c>
    </row>
    <row r="135" spans="1:7" x14ac:dyDescent="0.25">
      <c r="A135" t="s">
        <v>359</v>
      </c>
      <c r="B135" s="615">
        <v>2</v>
      </c>
      <c r="C135" t="s">
        <v>1829</v>
      </c>
      <c r="D135" t="s">
        <v>1850</v>
      </c>
      <c r="E135" s="615">
        <f ca="1">VLOOKUP(A135,Data!C:I,7,FALSE)</f>
        <v>0</v>
      </c>
      <c r="F135" s="709" t="str">
        <f t="shared" si="28"/>
        <v>PR.AC-42</v>
      </c>
      <c r="G135" s="709" t="str">
        <f t="shared" ca="1" si="29"/>
        <v>PR.AC-420</v>
      </c>
    </row>
    <row r="136" spans="1:7" x14ac:dyDescent="0.25">
      <c r="A136" t="s">
        <v>359</v>
      </c>
      <c r="B136" s="615">
        <v>2</v>
      </c>
      <c r="C136" t="s">
        <v>1829</v>
      </c>
      <c r="D136" t="s">
        <v>1845</v>
      </c>
      <c r="E136" s="615">
        <f ca="1">VLOOKUP(A136,Data!C:I,7,FALSE)</f>
        <v>0</v>
      </c>
      <c r="F136" s="709" t="str">
        <f t="shared" si="28"/>
        <v>PR.AC-72</v>
      </c>
      <c r="G136" s="709" t="str">
        <f t="shared" ca="1" si="29"/>
        <v>PR.AC-720</v>
      </c>
    </row>
    <row r="137" spans="1:7" x14ac:dyDescent="0.25">
      <c r="A137" t="s">
        <v>360</v>
      </c>
      <c r="B137" s="615">
        <v>2</v>
      </c>
      <c r="C137" t="s">
        <v>1829</v>
      </c>
      <c r="D137" t="s">
        <v>1848</v>
      </c>
      <c r="E137" s="615">
        <f ca="1">VLOOKUP(A137,Data!C:I,7,FALSE)</f>
        <v>0</v>
      </c>
      <c r="F137" s="709" t="str">
        <f t="shared" si="28"/>
        <v>PR.PT-32</v>
      </c>
      <c r="G137" s="709" t="str">
        <f t="shared" ca="1" si="29"/>
        <v>PR.PT-320</v>
      </c>
    </row>
    <row r="138" spans="1:7" x14ac:dyDescent="0.25">
      <c r="A138" t="s">
        <v>1088</v>
      </c>
      <c r="B138" s="615">
        <v>2</v>
      </c>
      <c r="C138" t="s">
        <v>1829</v>
      </c>
      <c r="D138" t="s">
        <v>1866</v>
      </c>
      <c r="E138" s="615">
        <f ca="1">VLOOKUP(A138,Data!C:I,7,FALSE)</f>
        <v>0</v>
      </c>
      <c r="F138" s="709" t="str">
        <f t="shared" si="28"/>
        <v>PR.DS-62</v>
      </c>
      <c r="G138" s="709" t="str">
        <f t="shared" ca="1" si="29"/>
        <v>PR.DS-620</v>
      </c>
    </row>
    <row r="139" spans="1:7" x14ac:dyDescent="0.25">
      <c r="A139" t="s">
        <v>1088</v>
      </c>
      <c r="B139" s="615">
        <v>2</v>
      </c>
      <c r="C139" t="s">
        <v>1829</v>
      </c>
      <c r="D139" t="s">
        <v>1867</v>
      </c>
      <c r="E139" s="615">
        <f ca="1">VLOOKUP(A139,Data!C:I,7,FALSE)</f>
        <v>0</v>
      </c>
      <c r="F139" s="709" t="str">
        <f t="shared" si="28"/>
        <v>PR.DS-82</v>
      </c>
      <c r="G139" s="709" t="str">
        <f t="shared" ca="1" si="29"/>
        <v>PR.DS-820</v>
      </c>
    </row>
    <row r="140" spans="1:7" x14ac:dyDescent="0.25">
      <c r="A140" t="s">
        <v>1089</v>
      </c>
      <c r="B140" s="615">
        <v>2</v>
      </c>
      <c r="C140" t="s">
        <v>1829</v>
      </c>
      <c r="D140" t="s">
        <v>1863</v>
      </c>
      <c r="E140" s="615">
        <f ca="1">VLOOKUP(A140,Data!C:I,7,FALSE)</f>
        <v>0</v>
      </c>
      <c r="F140" s="709" t="str">
        <f t="shared" si="28"/>
        <v>PR.DS-52</v>
      </c>
      <c r="G140" s="709" t="str">
        <f t="shared" ca="1" si="29"/>
        <v>PR.DS-520</v>
      </c>
    </row>
    <row r="141" spans="1:7" x14ac:dyDescent="0.25">
      <c r="A141" t="s">
        <v>1090</v>
      </c>
      <c r="B141" s="615">
        <v>2</v>
      </c>
      <c r="C141" t="s">
        <v>1829</v>
      </c>
      <c r="D141" t="s">
        <v>1847</v>
      </c>
      <c r="E141" s="615">
        <f ca="1">VLOOKUP(A141,Data!C:I,7,FALSE)</f>
        <v>0</v>
      </c>
      <c r="F141" s="709" t="str">
        <f t="shared" si="28"/>
        <v>PR.PT-22</v>
      </c>
      <c r="G141" s="709" t="str">
        <f t="shared" ca="1" si="29"/>
        <v>PR.PT-220</v>
      </c>
    </row>
    <row r="142" spans="1:7" x14ac:dyDescent="0.25">
      <c r="A142" t="s">
        <v>1091</v>
      </c>
      <c r="B142" s="615">
        <v>2</v>
      </c>
      <c r="C142" t="s">
        <v>1829</v>
      </c>
      <c r="D142" t="s">
        <v>1843</v>
      </c>
      <c r="E142" s="615">
        <f ca="1">VLOOKUP(A142,Data!C:I,7,FALSE)</f>
        <v>0</v>
      </c>
      <c r="F142" s="709" t="str">
        <f t="shared" si="28"/>
        <v>PR.AC-12</v>
      </c>
      <c r="G142" s="709" t="str">
        <f t="shared" ca="1" si="29"/>
        <v>PR.AC-120</v>
      </c>
    </row>
    <row r="143" spans="1:7" x14ac:dyDescent="0.25">
      <c r="A143" t="s">
        <v>1091</v>
      </c>
      <c r="B143" s="615">
        <v>2</v>
      </c>
      <c r="C143" t="s">
        <v>1829</v>
      </c>
      <c r="D143" t="s">
        <v>1854</v>
      </c>
      <c r="E143" s="615">
        <f ca="1">VLOOKUP(A143,Data!C:I,7,FALSE)</f>
        <v>0</v>
      </c>
      <c r="F143" s="709" t="str">
        <f t="shared" si="28"/>
        <v>PR.AC-22</v>
      </c>
      <c r="G143" s="709" t="str">
        <f t="shared" ca="1" si="29"/>
        <v>PR.AC-220</v>
      </c>
    </row>
    <row r="144" spans="1:7" x14ac:dyDescent="0.25">
      <c r="A144" t="s">
        <v>1092</v>
      </c>
      <c r="B144" s="615">
        <v>3</v>
      </c>
      <c r="C144" t="s">
        <v>1829</v>
      </c>
      <c r="D144" t="s">
        <v>1868</v>
      </c>
      <c r="E144" s="615">
        <f ca="1">VLOOKUP(A144,Data!C:I,7,FALSE)</f>
        <v>0</v>
      </c>
      <c r="F144" s="709" t="str">
        <f t="shared" si="28"/>
        <v>PR.DS-33</v>
      </c>
      <c r="G144" s="709" t="str">
        <f t="shared" ca="1" si="29"/>
        <v>PR.DS-330</v>
      </c>
    </row>
    <row r="145" spans="1:7" x14ac:dyDescent="0.25">
      <c r="A145" t="s">
        <v>1092</v>
      </c>
      <c r="B145" s="615">
        <v>3</v>
      </c>
      <c r="C145" t="s">
        <v>1829</v>
      </c>
      <c r="D145" t="s">
        <v>1867</v>
      </c>
      <c r="E145" s="615">
        <f ca="1">VLOOKUP(A145,Data!C:I,7,FALSE)</f>
        <v>0</v>
      </c>
      <c r="F145" s="709" t="str">
        <f t="shared" si="28"/>
        <v>PR.DS-83</v>
      </c>
      <c r="G145" s="709" t="str">
        <f t="shared" ca="1" si="29"/>
        <v>PR.DS-830</v>
      </c>
    </row>
    <row r="146" spans="1:7" x14ac:dyDescent="0.25">
      <c r="A146" t="s">
        <v>1093</v>
      </c>
      <c r="B146" s="615">
        <v>3</v>
      </c>
      <c r="C146" t="s">
        <v>1829</v>
      </c>
      <c r="D146" t="s">
        <v>1867</v>
      </c>
      <c r="E146" s="615">
        <f ca="1">VLOOKUP(A146,Data!C:I,7,FALSE)</f>
        <v>0</v>
      </c>
      <c r="F146" s="709" t="str">
        <f t="shared" si="28"/>
        <v>PR.DS-83</v>
      </c>
      <c r="G146" s="709" t="str">
        <f t="shared" ca="1" si="29"/>
        <v>PR.DS-830</v>
      </c>
    </row>
    <row r="147" spans="1:7" x14ac:dyDescent="0.25">
      <c r="A147" t="s">
        <v>361</v>
      </c>
      <c r="B147" s="615">
        <v>2</v>
      </c>
      <c r="C147" t="s">
        <v>1830</v>
      </c>
      <c r="D147" t="s">
        <v>1869</v>
      </c>
      <c r="E147" s="615">
        <f ca="1">VLOOKUP(A147,Data!C:I,7,FALSE)</f>
        <v>0</v>
      </c>
      <c r="F147" s="709" t="str">
        <f t="shared" si="28"/>
        <v>DE.CM-42</v>
      </c>
      <c r="G147" s="709" t="str">
        <f t="shared" ca="1" si="29"/>
        <v>DE.CM-420</v>
      </c>
    </row>
    <row r="148" spans="1:7" x14ac:dyDescent="0.25">
      <c r="A148" t="s">
        <v>361</v>
      </c>
      <c r="B148" s="615">
        <v>2</v>
      </c>
      <c r="C148" t="s">
        <v>1829</v>
      </c>
      <c r="D148" t="s">
        <v>1870</v>
      </c>
      <c r="E148" s="615">
        <f ca="1">VLOOKUP(A148,Data!C:I,7,FALSE)</f>
        <v>0</v>
      </c>
      <c r="F148" s="709" t="str">
        <f t="shared" si="28"/>
        <v>PR.DS-72</v>
      </c>
      <c r="G148" s="709" t="str">
        <f t="shared" ca="1" si="29"/>
        <v>PR.DS-720</v>
      </c>
    </row>
    <row r="149" spans="1:7" x14ac:dyDescent="0.25">
      <c r="A149" t="s">
        <v>362</v>
      </c>
      <c r="B149" s="615">
        <v>2</v>
      </c>
      <c r="C149" t="s">
        <v>507</v>
      </c>
      <c r="D149" t="s">
        <v>1871</v>
      </c>
      <c r="E149" s="615">
        <f ca="1">VLOOKUP(A149,Data!C:I,7,FALSE)</f>
        <v>0</v>
      </c>
      <c r="F149" s="709" t="str">
        <f t="shared" si="28"/>
        <v>ID.SC-22</v>
      </c>
      <c r="G149" s="709" t="str">
        <f t="shared" ca="1" si="29"/>
        <v>ID.SC-220</v>
      </c>
    </row>
    <row r="150" spans="1:7" x14ac:dyDescent="0.25">
      <c r="A150" t="s">
        <v>363</v>
      </c>
      <c r="B150" s="615">
        <v>2</v>
      </c>
      <c r="C150" t="s">
        <v>1829</v>
      </c>
      <c r="D150" t="s">
        <v>1866</v>
      </c>
      <c r="E150" s="615">
        <f ca="1">VLOOKUP(A150,Data!C:I,7,FALSE)</f>
        <v>0</v>
      </c>
      <c r="F150" s="709" t="str">
        <f t="shared" si="28"/>
        <v>PR.DS-62</v>
      </c>
      <c r="G150" s="709" t="str">
        <f t="shared" ca="1" si="29"/>
        <v>PR.DS-620</v>
      </c>
    </row>
    <row r="151" spans="1:7" x14ac:dyDescent="0.25">
      <c r="A151" t="s">
        <v>364</v>
      </c>
      <c r="B151" s="615">
        <v>3</v>
      </c>
      <c r="C151" t="s">
        <v>1829</v>
      </c>
      <c r="D151" t="s">
        <v>1870</v>
      </c>
      <c r="E151" s="615">
        <f ca="1">VLOOKUP(A151,Data!C:I,7,FALSE)</f>
        <v>0</v>
      </c>
      <c r="F151" s="709" t="str">
        <f t="shared" si="28"/>
        <v>PR.DS-73</v>
      </c>
      <c r="G151" s="709" t="str">
        <f t="shared" ca="1" si="29"/>
        <v>PR.DS-730</v>
      </c>
    </row>
    <row r="152" spans="1:7" x14ac:dyDescent="0.25">
      <c r="A152" t="s">
        <v>365</v>
      </c>
      <c r="B152" s="615">
        <v>3</v>
      </c>
      <c r="C152" t="s">
        <v>507</v>
      </c>
      <c r="D152" t="s">
        <v>1871</v>
      </c>
      <c r="E152" s="615">
        <f ca="1">VLOOKUP(A152,Data!C:I,7,FALSE)</f>
        <v>0</v>
      </c>
      <c r="F152" s="709" t="str">
        <f t="shared" si="28"/>
        <v>ID.SC-23</v>
      </c>
      <c r="G152" s="709" t="str">
        <f t="shared" ca="1" si="29"/>
        <v>ID.SC-230</v>
      </c>
    </row>
    <row r="153" spans="1:7" x14ac:dyDescent="0.25">
      <c r="A153" t="s">
        <v>366</v>
      </c>
      <c r="B153" s="615">
        <v>3</v>
      </c>
      <c r="C153" t="s">
        <v>1829</v>
      </c>
      <c r="D153" t="s">
        <v>1866</v>
      </c>
      <c r="E153" s="615">
        <f ca="1">VLOOKUP(A153,Data!C:I,7,FALSE)</f>
        <v>0</v>
      </c>
      <c r="F153" s="709" t="str">
        <f t="shared" si="28"/>
        <v>PR.DS-63</v>
      </c>
      <c r="G153" s="709" t="str">
        <f t="shared" ca="1" si="29"/>
        <v>PR.DS-630</v>
      </c>
    </row>
    <row r="154" spans="1:7" x14ac:dyDescent="0.25">
      <c r="A154" t="s">
        <v>366</v>
      </c>
      <c r="B154" s="615">
        <v>3</v>
      </c>
      <c r="C154" t="s">
        <v>1829</v>
      </c>
      <c r="D154" t="s">
        <v>1872</v>
      </c>
      <c r="E154" s="615">
        <f ca="1">VLOOKUP(A154,Data!C:I,7,FALSE)</f>
        <v>0</v>
      </c>
      <c r="F154" s="709" t="str">
        <f t="shared" si="28"/>
        <v>PR.IP-33</v>
      </c>
      <c r="G154" s="709" t="str">
        <f t="shared" ca="1" si="29"/>
        <v>PR.IP-330</v>
      </c>
    </row>
    <row r="155" spans="1:7" x14ac:dyDescent="0.25">
      <c r="A155" t="s">
        <v>367</v>
      </c>
      <c r="B155" s="615">
        <v>3</v>
      </c>
      <c r="C155" t="s">
        <v>1830</v>
      </c>
      <c r="D155" t="s">
        <v>1869</v>
      </c>
      <c r="E155" s="615">
        <f ca="1">VLOOKUP(A155,Data!C:I,7,FALSE)</f>
        <v>0</v>
      </c>
      <c r="F155" s="709" t="str">
        <f t="shared" si="28"/>
        <v>DE.CM-43</v>
      </c>
      <c r="G155" s="709" t="str">
        <f t="shared" ca="1" si="29"/>
        <v>DE.CM-430</v>
      </c>
    </row>
    <row r="156" spans="1:7" x14ac:dyDescent="0.25">
      <c r="A156" t="s">
        <v>367</v>
      </c>
      <c r="B156" s="615">
        <v>3</v>
      </c>
      <c r="C156" t="s">
        <v>1830</v>
      </c>
      <c r="D156" t="s">
        <v>1873</v>
      </c>
      <c r="E156" s="615">
        <f ca="1">VLOOKUP(A156,Data!C:I,7,FALSE)</f>
        <v>0</v>
      </c>
      <c r="F156" s="709" t="str">
        <f t="shared" si="28"/>
        <v>DE.CM-53</v>
      </c>
      <c r="G156" s="709" t="str">
        <f t="shared" ca="1" si="29"/>
        <v>DE.CM-530</v>
      </c>
    </row>
    <row r="157" spans="1:7" x14ac:dyDescent="0.25">
      <c r="A157" t="s">
        <v>367</v>
      </c>
      <c r="B157" s="615">
        <v>3</v>
      </c>
      <c r="C157" t="s">
        <v>1829</v>
      </c>
      <c r="D157" t="s">
        <v>1866</v>
      </c>
      <c r="E157" s="615">
        <f ca="1">VLOOKUP(A157,Data!C:I,7,FALSE)</f>
        <v>0</v>
      </c>
      <c r="F157" s="709" t="str">
        <f t="shared" si="28"/>
        <v>PR.DS-63</v>
      </c>
      <c r="G157" s="709" t="str">
        <f t="shared" ca="1" si="29"/>
        <v>PR.DS-630</v>
      </c>
    </row>
    <row r="158" spans="1:7" x14ac:dyDescent="0.25">
      <c r="A158" t="s">
        <v>367</v>
      </c>
      <c r="B158" s="615">
        <v>3</v>
      </c>
      <c r="C158" t="s">
        <v>1829</v>
      </c>
      <c r="D158" t="s">
        <v>1867</v>
      </c>
      <c r="E158" s="615">
        <f ca="1">VLOOKUP(A158,Data!C:I,7,FALSE)</f>
        <v>0</v>
      </c>
      <c r="F158" s="709" t="str">
        <f t="shared" si="28"/>
        <v>PR.DS-83</v>
      </c>
      <c r="G158" s="709" t="str">
        <f t="shared" ca="1" si="29"/>
        <v>PR.DS-830</v>
      </c>
    </row>
    <row r="159" spans="1:7" x14ac:dyDescent="0.25">
      <c r="A159" t="s">
        <v>368</v>
      </c>
      <c r="B159" s="615">
        <v>3</v>
      </c>
      <c r="C159" t="s">
        <v>1830</v>
      </c>
      <c r="D159" t="s">
        <v>1869</v>
      </c>
      <c r="E159" s="615">
        <f ca="1">VLOOKUP(A159,Data!C:I,7,FALSE)</f>
        <v>0</v>
      </c>
      <c r="F159" s="709" t="str">
        <f t="shared" si="28"/>
        <v>DE.CM-43</v>
      </c>
      <c r="G159" s="709" t="str">
        <f t="shared" ca="1" si="29"/>
        <v>DE.CM-430</v>
      </c>
    </row>
    <row r="160" spans="1:7" x14ac:dyDescent="0.25">
      <c r="A160" t="s">
        <v>368</v>
      </c>
      <c r="B160" s="615">
        <v>3</v>
      </c>
      <c r="C160" t="s">
        <v>1830</v>
      </c>
      <c r="D160" t="s">
        <v>1873</v>
      </c>
      <c r="E160" s="615">
        <f ca="1">VLOOKUP(A160,Data!C:I,7,FALSE)</f>
        <v>0</v>
      </c>
      <c r="F160" s="709" t="str">
        <f t="shared" si="28"/>
        <v>DE.CM-53</v>
      </c>
      <c r="G160" s="709" t="str">
        <f t="shared" ca="1" si="29"/>
        <v>DE.CM-530</v>
      </c>
    </row>
    <row r="161" spans="1:7" x14ac:dyDescent="0.25">
      <c r="A161" t="s">
        <v>372</v>
      </c>
      <c r="B161" s="615">
        <v>1</v>
      </c>
      <c r="C161" t="s">
        <v>1829</v>
      </c>
      <c r="D161" t="s">
        <v>1874</v>
      </c>
      <c r="E161" s="615">
        <f ca="1">VLOOKUP(A161,Data!C:I,7,FALSE)</f>
        <v>0</v>
      </c>
      <c r="F161" s="709" t="str">
        <f t="shared" si="28"/>
        <v>PR.DS-11</v>
      </c>
      <c r="G161" s="709" t="str">
        <f t="shared" ca="1" si="29"/>
        <v>PR.DS-110</v>
      </c>
    </row>
    <row r="162" spans="1:7" x14ac:dyDescent="0.25">
      <c r="A162" t="s">
        <v>372</v>
      </c>
      <c r="B162" s="615">
        <v>1</v>
      </c>
      <c r="C162" t="s">
        <v>1829</v>
      </c>
      <c r="D162" t="s">
        <v>1863</v>
      </c>
      <c r="E162" s="615">
        <f ca="1">VLOOKUP(A162,Data!C:I,7,FALSE)</f>
        <v>0</v>
      </c>
      <c r="F162" s="709" t="str">
        <f t="shared" si="28"/>
        <v>PR.DS-51</v>
      </c>
      <c r="G162" s="709" t="str">
        <f t="shared" ca="1" si="29"/>
        <v>PR.DS-510</v>
      </c>
    </row>
    <row r="163" spans="1:7" x14ac:dyDescent="0.25">
      <c r="A163" t="s">
        <v>373</v>
      </c>
      <c r="B163" s="615">
        <v>2</v>
      </c>
      <c r="C163" t="s">
        <v>1829</v>
      </c>
      <c r="D163" t="s">
        <v>1874</v>
      </c>
      <c r="E163" s="615">
        <f ca="1">VLOOKUP(A163,Data!C:I,7,FALSE)</f>
        <v>0</v>
      </c>
      <c r="F163" s="709" t="str">
        <f t="shared" si="28"/>
        <v>PR.DS-12</v>
      </c>
      <c r="G163" s="709" t="str">
        <f t="shared" ca="1" si="29"/>
        <v>PR.DS-120</v>
      </c>
    </row>
    <row r="164" spans="1:7" x14ac:dyDescent="0.25">
      <c r="A164" t="s">
        <v>373</v>
      </c>
      <c r="B164" s="615">
        <v>2</v>
      </c>
      <c r="C164" t="s">
        <v>1829</v>
      </c>
      <c r="D164" t="s">
        <v>1863</v>
      </c>
      <c r="E164" s="615">
        <f ca="1">VLOOKUP(A164,Data!C:I,7,FALSE)</f>
        <v>0</v>
      </c>
      <c r="F164" s="709" t="str">
        <f t="shared" si="28"/>
        <v>PR.DS-52</v>
      </c>
      <c r="G164" s="709" t="str">
        <f t="shared" ca="1" si="29"/>
        <v>PR.DS-520</v>
      </c>
    </row>
    <row r="165" spans="1:7" x14ac:dyDescent="0.25">
      <c r="A165" t="s">
        <v>374</v>
      </c>
      <c r="B165" s="615">
        <v>2</v>
      </c>
      <c r="C165" t="s">
        <v>1829</v>
      </c>
      <c r="D165" t="s">
        <v>1875</v>
      </c>
      <c r="E165" s="615">
        <f ca="1">VLOOKUP(A165,Data!C:I,7,FALSE)</f>
        <v>0</v>
      </c>
      <c r="F165" s="709" t="str">
        <f t="shared" si="28"/>
        <v>PR.DS-22</v>
      </c>
      <c r="G165" s="709" t="str">
        <f t="shared" ca="1" si="29"/>
        <v>PR.DS-220</v>
      </c>
    </row>
    <row r="166" spans="1:7" x14ac:dyDescent="0.25">
      <c r="A166" t="s">
        <v>374</v>
      </c>
      <c r="B166" s="615">
        <v>2</v>
      </c>
      <c r="C166" t="s">
        <v>1829</v>
      </c>
      <c r="D166" t="s">
        <v>1863</v>
      </c>
      <c r="E166" s="615">
        <f ca="1">VLOOKUP(A166,Data!C:I,7,FALSE)</f>
        <v>0</v>
      </c>
      <c r="F166" s="709" t="str">
        <f t="shared" si="28"/>
        <v>PR.DS-52</v>
      </c>
      <c r="G166" s="709" t="str">
        <f t="shared" ca="1" si="29"/>
        <v>PR.DS-520</v>
      </c>
    </row>
    <row r="167" spans="1:7" x14ac:dyDescent="0.25">
      <c r="A167" t="s">
        <v>375</v>
      </c>
      <c r="B167" s="615">
        <v>2</v>
      </c>
      <c r="C167" t="s">
        <v>1829</v>
      </c>
      <c r="D167" t="s">
        <v>1874</v>
      </c>
      <c r="E167" s="615">
        <f ca="1">VLOOKUP(A167,Data!C:I,7,FALSE)</f>
        <v>0</v>
      </c>
      <c r="F167" s="709" t="str">
        <f t="shared" si="28"/>
        <v>PR.DS-12</v>
      </c>
      <c r="G167" s="709" t="str">
        <f t="shared" ca="1" si="29"/>
        <v>PR.DS-120</v>
      </c>
    </row>
    <row r="168" spans="1:7" x14ac:dyDescent="0.25">
      <c r="A168" t="s">
        <v>375</v>
      </c>
      <c r="B168" s="615">
        <v>2</v>
      </c>
      <c r="C168" t="s">
        <v>1829</v>
      </c>
      <c r="D168" t="s">
        <v>1875</v>
      </c>
      <c r="E168" s="615">
        <f ca="1">VLOOKUP(A168,Data!C:I,7,FALSE)</f>
        <v>0</v>
      </c>
      <c r="F168" s="709" t="str">
        <f t="shared" si="28"/>
        <v>PR.DS-22</v>
      </c>
      <c r="G168" s="709" t="str">
        <f t="shared" ca="1" si="29"/>
        <v>PR.DS-220</v>
      </c>
    </row>
    <row r="169" spans="1:7" x14ac:dyDescent="0.25">
      <c r="A169" t="s">
        <v>375</v>
      </c>
      <c r="B169" s="615">
        <v>2</v>
      </c>
      <c r="C169" t="s">
        <v>1829</v>
      </c>
      <c r="D169" t="s">
        <v>1863</v>
      </c>
      <c r="E169" s="615">
        <f ca="1">VLOOKUP(A169,Data!C:I,7,FALSE)</f>
        <v>0</v>
      </c>
      <c r="F169" s="709" t="str">
        <f t="shared" si="28"/>
        <v>PR.DS-52</v>
      </c>
      <c r="G169" s="709" t="str">
        <f t="shared" ca="1" si="29"/>
        <v>PR.DS-520</v>
      </c>
    </row>
    <row r="170" spans="1:7" x14ac:dyDescent="0.25">
      <c r="A170" t="s">
        <v>376</v>
      </c>
      <c r="B170" s="615">
        <v>2</v>
      </c>
      <c r="C170" t="s">
        <v>1829</v>
      </c>
      <c r="D170" t="s">
        <v>1874</v>
      </c>
      <c r="E170" s="615">
        <f ca="1">VLOOKUP(A170,Data!C:I,7,FALSE)</f>
        <v>0</v>
      </c>
      <c r="F170" s="709" t="str">
        <f t="shared" si="28"/>
        <v>PR.DS-12</v>
      </c>
      <c r="G170" s="709" t="str">
        <f t="shared" ca="1" si="29"/>
        <v>PR.DS-120</v>
      </c>
    </row>
    <row r="171" spans="1:7" x14ac:dyDescent="0.25">
      <c r="A171" t="s">
        <v>376</v>
      </c>
      <c r="B171" s="615">
        <v>2</v>
      </c>
      <c r="C171" t="s">
        <v>1829</v>
      </c>
      <c r="D171" t="s">
        <v>1875</v>
      </c>
      <c r="E171" s="615">
        <f ca="1">VLOOKUP(A171,Data!C:I,7,FALSE)</f>
        <v>0</v>
      </c>
      <c r="F171" s="709" t="str">
        <f t="shared" si="28"/>
        <v>PR.DS-22</v>
      </c>
      <c r="G171" s="709" t="str">
        <f t="shared" ca="1" si="29"/>
        <v>PR.DS-220</v>
      </c>
    </row>
    <row r="172" spans="1:7" x14ac:dyDescent="0.25">
      <c r="A172" t="s">
        <v>376</v>
      </c>
      <c r="B172" s="615">
        <v>2</v>
      </c>
      <c r="C172" t="s">
        <v>1829</v>
      </c>
      <c r="D172" t="s">
        <v>1863</v>
      </c>
      <c r="E172" s="615">
        <f ca="1">VLOOKUP(A172,Data!C:I,7,FALSE)</f>
        <v>0</v>
      </c>
      <c r="F172" s="709" t="str">
        <f t="shared" si="28"/>
        <v>PR.DS-52</v>
      </c>
      <c r="G172" s="709" t="str">
        <f t="shared" ca="1" si="29"/>
        <v>PR.DS-520</v>
      </c>
    </row>
    <row r="173" spans="1:7" x14ac:dyDescent="0.25">
      <c r="A173" t="s">
        <v>377</v>
      </c>
      <c r="B173" s="615">
        <v>2</v>
      </c>
      <c r="C173" t="s">
        <v>1829</v>
      </c>
      <c r="D173" t="s">
        <v>1863</v>
      </c>
      <c r="E173" s="615">
        <f ca="1">VLOOKUP(A173,Data!C:I,7,FALSE)</f>
        <v>0</v>
      </c>
      <c r="F173" s="709" t="str">
        <f t="shared" si="28"/>
        <v>PR.DS-52</v>
      </c>
      <c r="G173" s="709" t="str">
        <f t="shared" ca="1" si="29"/>
        <v>PR.DS-520</v>
      </c>
    </row>
    <row r="174" spans="1:7" x14ac:dyDescent="0.25">
      <c r="A174" t="s">
        <v>378</v>
      </c>
      <c r="B174" s="615">
        <v>3</v>
      </c>
      <c r="C174" t="s">
        <v>1829</v>
      </c>
      <c r="D174" t="s">
        <v>1874</v>
      </c>
      <c r="E174" s="615">
        <f ca="1">VLOOKUP(A174,Data!C:I,7,FALSE)</f>
        <v>0</v>
      </c>
      <c r="F174" s="709" t="str">
        <f t="shared" si="28"/>
        <v>PR.DS-13</v>
      </c>
      <c r="G174" s="709" t="str">
        <f t="shared" ca="1" si="29"/>
        <v>PR.DS-130</v>
      </c>
    </row>
    <row r="175" spans="1:7" x14ac:dyDescent="0.25">
      <c r="A175" t="s">
        <v>378</v>
      </c>
      <c r="B175" s="615">
        <v>3</v>
      </c>
      <c r="C175" t="s">
        <v>1829</v>
      </c>
      <c r="D175" t="s">
        <v>1863</v>
      </c>
      <c r="E175" s="615">
        <f ca="1">VLOOKUP(A175,Data!C:I,7,FALSE)</f>
        <v>0</v>
      </c>
      <c r="F175" s="709" t="str">
        <f t="shared" si="28"/>
        <v>PR.DS-53</v>
      </c>
      <c r="G175" s="709" t="str">
        <f t="shared" ca="1" si="29"/>
        <v>PR.DS-530</v>
      </c>
    </row>
    <row r="176" spans="1:7" x14ac:dyDescent="0.25">
      <c r="A176" t="s">
        <v>1094</v>
      </c>
      <c r="B176" s="615">
        <v>3</v>
      </c>
      <c r="C176" t="s">
        <v>1829</v>
      </c>
      <c r="D176" t="s">
        <v>1866</v>
      </c>
      <c r="E176" s="615">
        <f ca="1">VLOOKUP(A176,Data!C:I,7,FALSE)</f>
        <v>0</v>
      </c>
      <c r="F176" s="709" t="str">
        <f t="shared" si="28"/>
        <v>PR.DS-63</v>
      </c>
      <c r="G176" s="709" t="str">
        <f t="shared" ca="1" si="29"/>
        <v>PR.DS-630</v>
      </c>
    </row>
    <row r="177" spans="1:7" x14ac:dyDescent="0.25">
      <c r="A177" t="s">
        <v>1099</v>
      </c>
      <c r="B177" s="615">
        <v>3</v>
      </c>
      <c r="C177" t="s">
        <v>507</v>
      </c>
      <c r="D177" t="s">
        <v>1857</v>
      </c>
      <c r="E177" s="615">
        <f ca="1">VLOOKUP(A177,Data!C:I,7,FALSE)</f>
        <v>0</v>
      </c>
      <c r="F177" s="709" t="str">
        <f t="shared" si="28"/>
        <v>ID.AM-63</v>
      </c>
      <c r="G177" s="709" t="str">
        <f t="shared" ca="1" si="29"/>
        <v>ID.AM-630</v>
      </c>
    </row>
    <row r="178" spans="1:7" x14ac:dyDescent="0.25">
      <c r="A178" t="s">
        <v>1099</v>
      </c>
      <c r="B178" s="615">
        <v>3</v>
      </c>
      <c r="C178" t="s">
        <v>507</v>
      </c>
      <c r="D178" t="s">
        <v>1858</v>
      </c>
      <c r="E178" s="615">
        <f ca="1">VLOOKUP(A178,Data!C:I,7,FALSE)</f>
        <v>0</v>
      </c>
      <c r="F178" s="709" t="str">
        <f t="shared" si="28"/>
        <v>ID.GV-23</v>
      </c>
      <c r="G178" s="709" t="str">
        <f t="shared" ca="1" si="29"/>
        <v>ID.GV-230</v>
      </c>
    </row>
    <row r="179" spans="1:7" x14ac:dyDescent="0.25">
      <c r="A179" t="s">
        <v>1100</v>
      </c>
      <c r="B179" s="615">
        <v>3</v>
      </c>
      <c r="C179" t="s">
        <v>1829</v>
      </c>
      <c r="D179" t="s">
        <v>1859</v>
      </c>
      <c r="E179" s="615">
        <f ca="1">VLOOKUP(A179,Data!C:I,7,FALSE)</f>
        <v>0</v>
      </c>
      <c r="F179" s="709" t="str">
        <f t="shared" si="28"/>
        <v>PR.IP-83</v>
      </c>
      <c r="G179" s="709" t="str">
        <f t="shared" ca="1" si="29"/>
        <v>PR.IP-830</v>
      </c>
    </row>
    <row r="180" spans="1:7" x14ac:dyDescent="0.25">
      <c r="A180" t="s">
        <v>89</v>
      </c>
      <c r="B180" s="615">
        <v>1</v>
      </c>
      <c r="C180" t="s">
        <v>507</v>
      </c>
      <c r="D180" t="s">
        <v>1876</v>
      </c>
      <c r="E180" s="615">
        <f ca="1">VLOOKUP(A180,Data!C:I,7,FALSE)</f>
        <v>0</v>
      </c>
      <c r="F180" s="709" t="str">
        <f t="shared" si="28"/>
        <v>ID.AM-11</v>
      </c>
      <c r="G180" s="709" t="str">
        <f t="shared" ca="1" si="29"/>
        <v>ID.AM-110</v>
      </c>
    </row>
    <row r="181" spans="1:7" x14ac:dyDescent="0.25">
      <c r="A181" t="s">
        <v>89</v>
      </c>
      <c r="B181" s="615">
        <v>1</v>
      </c>
      <c r="C181" t="s">
        <v>507</v>
      </c>
      <c r="D181" t="s">
        <v>1877</v>
      </c>
      <c r="E181" s="615">
        <f ca="1">VLOOKUP(A181,Data!C:I,7,FALSE)</f>
        <v>0</v>
      </c>
      <c r="F181" s="709" t="str">
        <f t="shared" si="28"/>
        <v>ID.AM-21</v>
      </c>
      <c r="G181" s="709" t="str">
        <f t="shared" ca="1" si="29"/>
        <v>ID.AM-210</v>
      </c>
    </row>
    <row r="182" spans="1:7" x14ac:dyDescent="0.25">
      <c r="A182" t="s">
        <v>89</v>
      </c>
      <c r="B182" s="615">
        <v>1</v>
      </c>
      <c r="C182" t="s">
        <v>507</v>
      </c>
      <c r="D182" t="s">
        <v>1878</v>
      </c>
      <c r="E182" s="615">
        <f ca="1">VLOOKUP(A182,Data!C:I,7,FALSE)</f>
        <v>0</v>
      </c>
      <c r="F182" s="709" t="str">
        <f t="shared" si="28"/>
        <v>ID.AM-51</v>
      </c>
      <c r="G182" s="709" t="str">
        <f t="shared" ca="1" si="29"/>
        <v>ID.AM-510</v>
      </c>
    </row>
    <row r="183" spans="1:7" x14ac:dyDescent="0.25">
      <c r="A183" t="s">
        <v>89</v>
      </c>
      <c r="B183" s="615">
        <v>1</v>
      </c>
      <c r="C183" t="s">
        <v>507</v>
      </c>
      <c r="D183" t="s">
        <v>1879</v>
      </c>
      <c r="E183" s="615">
        <f ca="1">VLOOKUP(A183,Data!C:I,7,FALSE)</f>
        <v>0</v>
      </c>
      <c r="F183" s="709" t="str">
        <f t="shared" si="28"/>
        <v>ID.BE-41</v>
      </c>
      <c r="G183" s="709" t="str">
        <f t="shared" ca="1" si="29"/>
        <v>ID.BE-410</v>
      </c>
    </row>
    <row r="184" spans="1:7" x14ac:dyDescent="0.25">
      <c r="A184" t="s">
        <v>91</v>
      </c>
      <c r="B184" s="615">
        <v>2</v>
      </c>
      <c r="C184" t="s">
        <v>507</v>
      </c>
      <c r="D184" t="s">
        <v>1876</v>
      </c>
      <c r="E184" s="615">
        <f ca="1">VLOOKUP(A184,Data!C:I,7,FALSE)</f>
        <v>0</v>
      </c>
      <c r="F184" s="709" t="str">
        <f t="shared" si="28"/>
        <v>ID.AM-12</v>
      </c>
      <c r="G184" s="709" t="str">
        <f t="shared" ca="1" si="29"/>
        <v>ID.AM-120</v>
      </c>
    </row>
    <row r="185" spans="1:7" x14ac:dyDescent="0.25">
      <c r="A185" t="s">
        <v>91</v>
      </c>
      <c r="B185" s="615">
        <v>2</v>
      </c>
      <c r="C185" t="s">
        <v>507</v>
      </c>
      <c r="D185" t="s">
        <v>1877</v>
      </c>
      <c r="E185" s="615">
        <f ca="1">VLOOKUP(A185,Data!C:I,7,FALSE)</f>
        <v>0</v>
      </c>
      <c r="F185" s="709" t="str">
        <f t="shared" si="28"/>
        <v>ID.AM-22</v>
      </c>
      <c r="G185" s="709" t="str">
        <f t="shared" ca="1" si="29"/>
        <v>ID.AM-220</v>
      </c>
    </row>
    <row r="186" spans="1:7" x14ac:dyDescent="0.25">
      <c r="A186" t="s">
        <v>91</v>
      </c>
      <c r="B186" s="615">
        <v>2</v>
      </c>
      <c r="C186" t="s">
        <v>507</v>
      </c>
      <c r="D186" t="s">
        <v>1878</v>
      </c>
      <c r="E186" s="615">
        <f ca="1">VLOOKUP(A186,Data!C:I,7,FALSE)</f>
        <v>0</v>
      </c>
      <c r="F186" s="709" t="str">
        <f t="shared" si="28"/>
        <v>ID.AM-52</v>
      </c>
      <c r="G186" s="709" t="str">
        <f t="shared" ca="1" si="29"/>
        <v>ID.AM-520</v>
      </c>
    </row>
    <row r="187" spans="1:7" x14ac:dyDescent="0.25">
      <c r="A187" t="s">
        <v>91</v>
      </c>
      <c r="B187" s="615">
        <v>2</v>
      </c>
      <c r="C187" t="s">
        <v>507</v>
      </c>
      <c r="D187" t="s">
        <v>1879</v>
      </c>
      <c r="E187" s="615">
        <f ca="1">VLOOKUP(A187,Data!C:I,7,FALSE)</f>
        <v>0</v>
      </c>
      <c r="F187" s="709" t="str">
        <f t="shared" si="28"/>
        <v>ID.BE-42</v>
      </c>
      <c r="G187" s="709" t="str">
        <f t="shared" ca="1" si="29"/>
        <v>ID.BE-420</v>
      </c>
    </row>
    <row r="188" spans="1:7" x14ac:dyDescent="0.25">
      <c r="A188" t="s">
        <v>92</v>
      </c>
      <c r="B188" s="615">
        <v>2</v>
      </c>
      <c r="C188" t="s">
        <v>507</v>
      </c>
      <c r="D188" t="s">
        <v>1876</v>
      </c>
      <c r="E188" s="615">
        <f ca="1">VLOOKUP(A188,Data!C:I,7,FALSE)</f>
        <v>0</v>
      </c>
      <c r="F188" s="709" t="str">
        <f t="shared" si="28"/>
        <v>ID.AM-12</v>
      </c>
      <c r="G188" s="709" t="str">
        <f t="shared" ca="1" si="29"/>
        <v>ID.AM-120</v>
      </c>
    </row>
    <row r="189" spans="1:7" x14ac:dyDescent="0.25">
      <c r="A189" t="s">
        <v>92</v>
      </c>
      <c r="B189" s="615">
        <v>2</v>
      </c>
      <c r="C189" t="s">
        <v>507</v>
      </c>
      <c r="D189" t="s">
        <v>1877</v>
      </c>
      <c r="E189" s="615">
        <f ca="1">VLOOKUP(A189,Data!C:I,7,FALSE)</f>
        <v>0</v>
      </c>
      <c r="F189" s="709" t="str">
        <f t="shared" si="28"/>
        <v>ID.AM-22</v>
      </c>
      <c r="G189" s="709" t="str">
        <f t="shared" ca="1" si="29"/>
        <v>ID.AM-220</v>
      </c>
    </row>
    <row r="190" spans="1:7" x14ac:dyDescent="0.25">
      <c r="A190" t="s">
        <v>92</v>
      </c>
      <c r="B190" s="615">
        <v>2</v>
      </c>
      <c r="C190" t="s">
        <v>507</v>
      </c>
      <c r="D190" t="s">
        <v>1878</v>
      </c>
      <c r="E190" s="615">
        <f ca="1">VLOOKUP(A190,Data!C:I,7,FALSE)</f>
        <v>0</v>
      </c>
      <c r="F190" s="709" t="str">
        <f t="shared" si="28"/>
        <v>ID.AM-52</v>
      </c>
      <c r="G190" s="709" t="str">
        <f t="shared" ca="1" si="29"/>
        <v>ID.AM-520</v>
      </c>
    </row>
    <row r="191" spans="1:7" x14ac:dyDescent="0.25">
      <c r="A191" t="s">
        <v>92</v>
      </c>
      <c r="B191" s="615">
        <v>2</v>
      </c>
      <c r="C191" t="s">
        <v>507</v>
      </c>
      <c r="D191" t="s">
        <v>1879</v>
      </c>
      <c r="E191" s="615">
        <f ca="1">VLOOKUP(A191,Data!C:I,7,FALSE)</f>
        <v>0</v>
      </c>
      <c r="F191" s="709" t="str">
        <f t="shared" si="28"/>
        <v>ID.BE-42</v>
      </c>
      <c r="G191" s="709" t="str">
        <f t="shared" ca="1" si="29"/>
        <v>ID.BE-420</v>
      </c>
    </row>
    <row r="192" spans="1:7" x14ac:dyDescent="0.25">
      <c r="A192" t="s">
        <v>94</v>
      </c>
      <c r="B192" s="615">
        <v>2</v>
      </c>
      <c r="C192" t="s">
        <v>507</v>
      </c>
      <c r="D192" t="s">
        <v>1878</v>
      </c>
      <c r="E192" s="615">
        <f ca="1">VLOOKUP(A192,Data!C:I,7,FALSE)</f>
        <v>0</v>
      </c>
      <c r="F192" s="709" t="str">
        <f t="shared" si="28"/>
        <v>ID.AM-52</v>
      </c>
      <c r="G192" s="709" t="str">
        <f t="shared" ca="1" si="29"/>
        <v>ID.AM-520</v>
      </c>
    </row>
    <row r="193" spans="1:7" x14ac:dyDescent="0.25">
      <c r="A193" t="s">
        <v>94</v>
      </c>
      <c r="B193" s="615">
        <v>2</v>
      </c>
      <c r="C193" t="s">
        <v>507</v>
      </c>
      <c r="D193" t="s">
        <v>1879</v>
      </c>
      <c r="E193" s="615">
        <f ca="1">VLOOKUP(A193,Data!C:I,7,FALSE)</f>
        <v>0</v>
      </c>
      <c r="F193" s="709" t="str">
        <f t="shared" si="28"/>
        <v>ID.BE-42</v>
      </c>
      <c r="G193" s="709" t="str">
        <f t="shared" ca="1" si="29"/>
        <v>ID.BE-420</v>
      </c>
    </row>
    <row r="194" spans="1:7" x14ac:dyDescent="0.25">
      <c r="A194" t="s">
        <v>96</v>
      </c>
      <c r="B194" s="615">
        <v>2</v>
      </c>
      <c r="C194" t="s">
        <v>507</v>
      </c>
      <c r="D194" t="s">
        <v>1878</v>
      </c>
      <c r="E194" s="615">
        <f ca="1">VLOOKUP(A194,Data!C:I,7,FALSE)</f>
        <v>0</v>
      </c>
      <c r="F194" s="709" t="str">
        <f t="shared" si="28"/>
        <v>ID.AM-52</v>
      </c>
      <c r="G194" s="709" t="str">
        <f t="shared" ca="1" si="29"/>
        <v>ID.AM-520</v>
      </c>
    </row>
    <row r="195" spans="1:7" x14ac:dyDescent="0.25">
      <c r="A195" t="s">
        <v>96</v>
      </c>
      <c r="B195" s="615">
        <v>2</v>
      </c>
      <c r="C195" t="s">
        <v>507</v>
      </c>
      <c r="D195" t="s">
        <v>1879</v>
      </c>
      <c r="E195" s="615">
        <f ca="1">VLOOKUP(A195,Data!C:I,7,FALSE)</f>
        <v>0</v>
      </c>
      <c r="F195" s="709" t="str">
        <f t="shared" ref="F195:F258" si="30">CONCATENATE($D195,$B195)</f>
        <v>ID.BE-42</v>
      </c>
      <c r="G195" s="709" t="str">
        <f t="shared" ref="G195:G258" ca="1" si="31">_xlfn.IFNA(CONCATENATE(F195,$E195),CONCATENATE(F195,$E195,0))</f>
        <v>ID.BE-420</v>
      </c>
    </row>
    <row r="196" spans="1:7" x14ac:dyDescent="0.25">
      <c r="A196" t="s">
        <v>98</v>
      </c>
      <c r="B196" s="615">
        <v>3</v>
      </c>
      <c r="C196" t="s">
        <v>507</v>
      </c>
      <c r="D196" t="s">
        <v>1876</v>
      </c>
      <c r="E196" s="615">
        <f ca="1">VLOOKUP(A196,Data!C:I,7,FALSE)</f>
        <v>0</v>
      </c>
      <c r="F196" s="709" t="str">
        <f t="shared" si="30"/>
        <v>ID.AM-13</v>
      </c>
      <c r="G196" s="709" t="str">
        <f t="shared" ca="1" si="31"/>
        <v>ID.AM-130</v>
      </c>
    </row>
    <row r="197" spans="1:7" x14ac:dyDescent="0.25">
      <c r="A197" t="s">
        <v>98</v>
      </c>
      <c r="B197" s="615">
        <v>3</v>
      </c>
      <c r="C197" t="s">
        <v>507</v>
      </c>
      <c r="D197" t="s">
        <v>1877</v>
      </c>
      <c r="E197" s="615">
        <f ca="1">VLOOKUP(A197,Data!C:I,7,FALSE)</f>
        <v>0</v>
      </c>
      <c r="F197" s="709" t="str">
        <f t="shared" si="30"/>
        <v>ID.AM-23</v>
      </c>
      <c r="G197" s="709" t="str">
        <f t="shared" ca="1" si="31"/>
        <v>ID.AM-230</v>
      </c>
    </row>
    <row r="198" spans="1:7" x14ac:dyDescent="0.25">
      <c r="A198" t="s">
        <v>98</v>
      </c>
      <c r="B198" s="615">
        <v>3</v>
      </c>
      <c r="C198" t="s">
        <v>507</v>
      </c>
      <c r="D198" t="s">
        <v>1879</v>
      </c>
      <c r="E198" s="615">
        <f ca="1">VLOOKUP(A198,Data!C:I,7,FALSE)</f>
        <v>0</v>
      </c>
      <c r="F198" s="709" t="str">
        <f t="shared" si="30"/>
        <v>ID.BE-43</v>
      </c>
      <c r="G198" s="709" t="str">
        <f t="shared" ca="1" si="31"/>
        <v>ID.BE-430</v>
      </c>
    </row>
    <row r="199" spans="1:7" x14ac:dyDescent="0.25">
      <c r="A199" t="s">
        <v>1025</v>
      </c>
      <c r="B199" s="615">
        <v>3</v>
      </c>
      <c r="C199" t="s">
        <v>507</v>
      </c>
      <c r="D199" t="s">
        <v>1876</v>
      </c>
      <c r="E199" s="615">
        <f ca="1">VLOOKUP(A199,Data!C:I,7,FALSE)</f>
        <v>0</v>
      </c>
      <c r="F199" s="709" t="str">
        <f t="shared" si="30"/>
        <v>ID.AM-13</v>
      </c>
      <c r="G199" s="709" t="str">
        <f t="shared" ca="1" si="31"/>
        <v>ID.AM-130</v>
      </c>
    </row>
    <row r="200" spans="1:7" x14ac:dyDescent="0.25">
      <c r="A200" t="s">
        <v>1025</v>
      </c>
      <c r="B200" s="615">
        <v>3</v>
      </c>
      <c r="C200" t="s">
        <v>507</v>
      </c>
      <c r="D200" t="s">
        <v>1877</v>
      </c>
      <c r="E200" s="615">
        <f ca="1">VLOOKUP(A200,Data!C:I,7,FALSE)</f>
        <v>0</v>
      </c>
      <c r="F200" s="709" t="str">
        <f t="shared" si="30"/>
        <v>ID.AM-23</v>
      </c>
      <c r="G200" s="709" t="str">
        <f t="shared" ca="1" si="31"/>
        <v>ID.AM-230</v>
      </c>
    </row>
    <row r="201" spans="1:7" x14ac:dyDescent="0.25">
      <c r="A201" t="s">
        <v>1025</v>
      </c>
      <c r="B201" s="615">
        <v>3</v>
      </c>
      <c r="C201" t="s">
        <v>507</v>
      </c>
      <c r="D201" t="s">
        <v>1879</v>
      </c>
      <c r="E201" s="615">
        <f ca="1">VLOOKUP(A201,Data!C:I,7,FALSE)</f>
        <v>0</v>
      </c>
      <c r="F201" s="709" t="str">
        <f t="shared" si="30"/>
        <v>ID.BE-43</v>
      </c>
      <c r="G201" s="709" t="str">
        <f t="shared" ca="1" si="31"/>
        <v>ID.BE-430</v>
      </c>
    </row>
    <row r="202" spans="1:7" x14ac:dyDescent="0.25">
      <c r="A202" t="s">
        <v>1026</v>
      </c>
      <c r="B202" s="615">
        <v>3</v>
      </c>
      <c r="C202" t="s">
        <v>507</v>
      </c>
      <c r="D202" t="s">
        <v>1879</v>
      </c>
      <c r="E202" s="615">
        <f ca="1">VLOOKUP(A202,Data!C:I,7,FALSE)</f>
        <v>0</v>
      </c>
      <c r="F202" s="709" t="str">
        <f t="shared" si="30"/>
        <v>ID.BE-43</v>
      </c>
      <c r="G202" s="709" t="str">
        <f t="shared" ca="1" si="31"/>
        <v>ID.BE-430</v>
      </c>
    </row>
    <row r="203" spans="1:7" x14ac:dyDescent="0.25">
      <c r="A203" t="s">
        <v>1026</v>
      </c>
      <c r="B203" s="615">
        <v>3</v>
      </c>
      <c r="C203" t="s">
        <v>507</v>
      </c>
      <c r="D203" t="s">
        <v>1880</v>
      </c>
      <c r="E203" s="615">
        <f ca="1">VLOOKUP(A203,Data!C:I,7,FALSE)</f>
        <v>0</v>
      </c>
      <c r="F203" s="709" t="str">
        <f t="shared" si="30"/>
        <v>ID.RA-53</v>
      </c>
      <c r="G203" s="709" t="str">
        <f t="shared" ca="1" si="31"/>
        <v>ID.RA-530</v>
      </c>
    </row>
    <row r="204" spans="1:7" x14ac:dyDescent="0.25">
      <c r="A204" t="s">
        <v>1027</v>
      </c>
      <c r="B204" s="615">
        <v>3</v>
      </c>
      <c r="C204" t="s">
        <v>1829</v>
      </c>
      <c r="D204" t="s">
        <v>1868</v>
      </c>
      <c r="E204" s="615">
        <f ca="1">VLOOKUP(A204,Data!C:I,7,FALSE)</f>
        <v>0</v>
      </c>
      <c r="F204" s="709" t="str">
        <f t="shared" si="30"/>
        <v>PR.DS-33</v>
      </c>
      <c r="G204" s="709" t="str">
        <f t="shared" ca="1" si="31"/>
        <v>PR.DS-330</v>
      </c>
    </row>
    <row r="205" spans="1:7" x14ac:dyDescent="0.25">
      <c r="A205" t="s">
        <v>1027</v>
      </c>
      <c r="B205" s="615">
        <v>3</v>
      </c>
      <c r="C205" t="s">
        <v>1829</v>
      </c>
      <c r="D205" t="s">
        <v>1881</v>
      </c>
      <c r="E205" s="615">
        <f ca="1">VLOOKUP(A205,Data!C:I,7,FALSE)</f>
        <v>0</v>
      </c>
      <c r="F205" s="709" t="str">
        <f t="shared" si="30"/>
        <v>PR.IP-63</v>
      </c>
      <c r="G205" s="709" t="str">
        <f t="shared" ca="1" si="31"/>
        <v>PR.IP-630</v>
      </c>
    </row>
    <row r="206" spans="1:7" x14ac:dyDescent="0.25">
      <c r="A206" t="s">
        <v>100</v>
      </c>
      <c r="B206" s="615">
        <v>1</v>
      </c>
      <c r="C206" t="s">
        <v>507</v>
      </c>
      <c r="D206" t="s">
        <v>1882</v>
      </c>
      <c r="E206" s="615">
        <f ca="1">VLOOKUP(A206,Data!C:I,7,FALSE)</f>
        <v>0</v>
      </c>
      <c r="F206" s="709" t="str">
        <f t="shared" si="30"/>
        <v>ID.AM-31</v>
      </c>
      <c r="G206" s="709" t="str">
        <f t="shared" ca="1" si="31"/>
        <v>ID.AM-310</v>
      </c>
    </row>
    <row r="207" spans="1:7" x14ac:dyDescent="0.25">
      <c r="A207" t="s">
        <v>100</v>
      </c>
      <c r="B207" s="615">
        <v>1</v>
      </c>
      <c r="C207" t="s">
        <v>507</v>
      </c>
      <c r="D207" t="s">
        <v>1878</v>
      </c>
      <c r="E207" s="615">
        <f ca="1">VLOOKUP(A207,Data!C:I,7,FALSE)</f>
        <v>0</v>
      </c>
      <c r="F207" s="709" t="str">
        <f t="shared" si="30"/>
        <v>ID.AM-51</v>
      </c>
      <c r="G207" s="709" t="str">
        <f t="shared" ca="1" si="31"/>
        <v>ID.AM-510</v>
      </c>
    </row>
    <row r="208" spans="1:7" x14ac:dyDescent="0.25">
      <c r="A208" t="s">
        <v>100</v>
      </c>
      <c r="B208" s="615">
        <v>1</v>
      </c>
      <c r="C208" t="s">
        <v>507</v>
      </c>
      <c r="D208" t="s">
        <v>1879</v>
      </c>
      <c r="E208" s="615">
        <f ca="1">VLOOKUP(A208,Data!C:I,7,FALSE)</f>
        <v>0</v>
      </c>
      <c r="F208" s="709" t="str">
        <f t="shared" si="30"/>
        <v>ID.BE-41</v>
      </c>
      <c r="G208" s="709" t="str">
        <f t="shared" ca="1" si="31"/>
        <v>ID.BE-410</v>
      </c>
    </row>
    <row r="209" spans="1:7" x14ac:dyDescent="0.25">
      <c r="A209" t="s">
        <v>101</v>
      </c>
      <c r="B209" s="615">
        <v>2</v>
      </c>
      <c r="C209" t="s">
        <v>507</v>
      </c>
      <c r="D209" t="s">
        <v>1882</v>
      </c>
      <c r="E209" s="615">
        <f ca="1">VLOOKUP(A209,Data!C:I,7,FALSE)</f>
        <v>0</v>
      </c>
      <c r="F209" s="709" t="str">
        <f t="shared" si="30"/>
        <v>ID.AM-32</v>
      </c>
      <c r="G209" s="709" t="str">
        <f t="shared" ca="1" si="31"/>
        <v>ID.AM-320</v>
      </c>
    </row>
    <row r="210" spans="1:7" x14ac:dyDescent="0.25">
      <c r="A210" t="s">
        <v>101</v>
      </c>
      <c r="B210" s="615">
        <v>2</v>
      </c>
      <c r="C210" t="s">
        <v>507</v>
      </c>
      <c r="D210" t="s">
        <v>1878</v>
      </c>
      <c r="E210" s="615">
        <f ca="1">VLOOKUP(A210,Data!C:I,7,FALSE)</f>
        <v>0</v>
      </c>
      <c r="F210" s="709" t="str">
        <f t="shared" si="30"/>
        <v>ID.AM-52</v>
      </c>
      <c r="G210" s="709" t="str">
        <f t="shared" ca="1" si="31"/>
        <v>ID.AM-520</v>
      </c>
    </row>
    <row r="211" spans="1:7" x14ac:dyDescent="0.25">
      <c r="A211" t="s">
        <v>101</v>
      </c>
      <c r="B211" s="615">
        <v>2</v>
      </c>
      <c r="C211" t="s">
        <v>507</v>
      </c>
      <c r="D211" t="s">
        <v>1879</v>
      </c>
      <c r="E211" s="615">
        <f ca="1">VLOOKUP(A211,Data!C:I,7,FALSE)</f>
        <v>0</v>
      </c>
      <c r="F211" s="709" t="str">
        <f t="shared" si="30"/>
        <v>ID.BE-42</v>
      </c>
      <c r="G211" s="709" t="str">
        <f t="shared" ca="1" si="31"/>
        <v>ID.BE-420</v>
      </c>
    </row>
    <row r="212" spans="1:7" x14ac:dyDescent="0.25">
      <c r="A212" t="s">
        <v>103</v>
      </c>
      <c r="B212" s="615">
        <v>2</v>
      </c>
      <c r="C212" t="s">
        <v>507</v>
      </c>
      <c r="D212" t="s">
        <v>1882</v>
      </c>
      <c r="E212" s="615">
        <f ca="1">VLOOKUP(A212,Data!C:I,7,FALSE)</f>
        <v>0</v>
      </c>
      <c r="F212" s="709" t="str">
        <f t="shared" si="30"/>
        <v>ID.AM-32</v>
      </c>
      <c r="G212" s="709" t="str">
        <f t="shared" ca="1" si="31"/>
        <v>ID.AM-320</v>
      </c>
    </row>
    <row r="213" spans="1:7" x14ac:dyDescent="0.25">
      <c r="A213" t="s">
        <v>103</v>
      </c>
      <c r="B213" s="615">
        <v>2</v>
      </c>
      <c r="C213" t="s">
        <v>507</v>
      </c>
      <c r="D213" t="s">
        <v>1878</v>
      </c>
      <c r="E213" s="615">
        <f ca="1">VLOOKUP(A213,Data!C:I,7,FALSE)</f>
        <v>0</v>
      </c>
      <c r="F213" s="709" t="str">
        <f t="shared" si="30"/>
        <v>ID.AM-52</v>
      </c>
      <c r="G213" s="709" t="str">
        <f t="shared" ca="1" si="31"/>
        <v>ID.AM-520</v>
      </c>
    </row>
    <row r="214" spans="1:7" x14ac:dyDescent="0.25">
      <c r="A214" t="s">
        <v>103</v>
      </c>
      <c r="B214" s="615">
        <v>2</v>
      </c>
      <c r="C214" t="s">
        <v>507</v>
      </c>
      <c r="D214" t="s">
        <v>1879</v>
      </c>
      <c r="E214" s="615">
        <f ca="1">VLOOKUP(A214,Data!C:I,7,FALSE)</f>
        <v>0</v>
      </c>
      <c r="F214" s="709" t="str">
        <f t="shared" si="30"/>
        <v>ID.BE-42</v>
      </c>
      <c r="G214" s="709" t="str">
        <f t="shared" ca="1" si="31"/>
        <v>ID.BE-420</v>
      </c>
    </row>
    <row r="215" spans="1:7" x14ac:dyDescent="0.25">
      <c r="A215" t="s">
        <v>105</v>
      </c>
      <c r="B215" s="615">
        <v>2</v>
      </c>
      <c r="C215" t="s">
        <v>507</v>
      </c>
      <c r="D215" t="s">
        <v>1878</v>
      </c>
      <c r="E215" s="615">
        <f ca="1">VLOOKUP(A215,Data!C:I,7,FALSE)</f>
        <v>0</v>
      </c>
      <c r="F215" s="709" t="str">
        <f t="shared" si="30"/>
        <v>ID.AM-52</v>
      </c>
      <c r="G215" s="709" t="str">
        <f t="shared" ca="1" si="31"/>
        <v>ID.AM-520</v>
      </c>
    </row>
    <row r="216" spans="1:7" x14ac:dyDescent="0.25">
      <c r="A216" t="s">
        <v>105</v>
      </c>
      <c r="B216" s="615">
        <v>2</v>
      </c>
      <c r="C216" t="s">
        <v>507</v>
      </c>
      <c r="D216" t="s">
        <v>1879</v>
      </c>
      <c r="E216" s="615">
        <f ca="1">VLOOKUP(A216,Data!C:I,7,FALSE)</f>
        <v>0</v>
      </c>
      <c r="F216" s="709" t="str">
        <f t="shared" si="30"/>
        <v>ID.BE-42</v>
      </c>
      <c r="G216" s="709" t="str">
        <f t="shared" ca="1" si="31"/>
        <v>ID.BE-420</v>
      </c>
    </row>
    <row r="217" spans="1:7" x14ac:dyDescent="0.25">
      <c r="A217" t="s">
        <v>107</v>
      </c>
      <c r="B217" s="615">
        <v>2</v>
      </c>
      <c r="C217" t="s">
        <v>507</v>
      </c>
      <c r="D217" t="s">
        <v>1878</v>
      </c>
      <c r="E217" s="615">
        <f ca="1">VLOOKUP(A217,Data!C:I,7,FALSE)</f>
        <v>0</v>
      </c>
      <c r="F217" s="709" t="str">
        <f t="shared" si="30"/>
        <v>ID.AM-52</v>
      </c>
      <c r="G217" s="709" t="str">
        <f t="shared" ca="1" si="31"/>
        <v>ID.AM-520</v>
      </c>
    </row>
    <row r="218" spans="1:7" x14ac:dyDescent="0.25">
      <c r="A218" t="s">
        <v>107</v>
      </c>
      <c r="B218" s="615">
        <v>2</v>
      </c>
      <c r="C218" t="s">
        <v>507</v>
      </c>
      <c r="D218" t="s">
        <v>1879</v>
      </c>
      <c r="E218" s="615">
        <f ca="1">VLOOKUP(A218,Data!C:I,7,FALSE)</f>
        <v>0</v>
      </c>
      <c r="F218" s="709" t="str">
        <f t="shared" si="30"/>
        <v>ID.BE-42</v>
      </c>
      <c r="G218" s="709" t="str">
        <f t="shared" ca="1" si="31"/>
        <v>ID.BE-420</v>
      </c>
    </row>
    <row r="219" spans="1:7" x14ac:dyDescent="0.25">
      <c r="A219" t="s">
        <v>108</v>
      </c>
      <c r="B219" s="615">
        <v>3</v>
      </c>
      <c r="C219" t="s">
        <v>507</v>
      </c>
      <c r="D219" t="s">
        <v>1882</v>
      </c>
      <c r="E219" s="615">
        <f ca="1">VLOOKUP(A219,Data!C:I,7,FALSE)</f>
        <v>0</v>
      </c>
      <c r="F219" s="709" t="str">
        <f t="shared" si="30"/>
        <v>ID.AM-33</v>
      </c>
      <c r="G219" s="709" t="str">
        <f t="shared" ca="1" si="31"/>
        <v>ID.AM-330</v>
      </c>
    </row>
    <row r="220" spans="1:7" x14ac:dyDescent="0.25">
      <c r="A220" t="s">
        <v>108</v>
      </c>
      <c r="B220" s="615">
        <v>3</v>
      </c>
      <c r="C220" t="s">
        <v>507</v>
      </c>
      <c r="D220" t="s">
        <v>1878</v>
      </c>
      <c r="E220" s="615">
        <f ca="1">VLOOKUP(A220,Data!C:I,7,FALSE)</f>
        <v>0</v>
      </c>
      <c r="F220" s="709" t="str">
        <f t="shared" si="30"/>
        <v>ID.AM-53</v>
      </c>
      <c r="G220" s="709" t="str">
        <f t="shared" ca="1" si="31"/>
        <v>ID.AM-530</v>
      </c>
    </row>
    <row r="221" spans="1:7" x14ac:dyDescent="0.25">
      <c r="A221" t="s">
        <v>108</v>
      </c>
      <c r="B221" s="615">
        <v>3</v>
      </c>
      <c r="C221" t="s">
        <v>507</v>
      </c>
      <c r="D221" t="s">
        <v>1879</v>
      </c>
      <c r="E221" s="615">
        <f ca="1">VLOOKUP(A221,Data!C:I,7,FALSE)</f>
        <v>0</v>
      </c>
      <c r="F221" s="709" t="str">
        <f t="shared" si="30"/>
        <v>ID.BE-43</v>
      </c>
      <c r="G221" s="709" t="str">
        <f t="shared" ca="1" si="31"/>
        <v>ID.BE-430</v>
      </c>
    </row>
    <row r="222" spans="1:7" x14ac:dyDescent="0.25">
      <c r="A222" t="s">
        <v>1028</v>
      </c>
      <c r="B222" s="615">
        <v>3</v>
      </c>
      <c r="C222" t="s">
        <v>507</v>
      </c>
      <c r="D222" t="s">
        <v>1882</v>
      </c>
      <c r="E222" s="615">
        <f ca="1">VLOOKUP(A222,Data!C:I,7,FALSE)</f>
        <v>0</v>
      </c>
      <c r="F222" s="709" t="str">
        <f t="shared" si="30"/>
        <v>ID.AM-33</v>
      </c>
      <c r="G222" s="709" t="str">
        <f t="shared" ca="1" si="31"/>
        <v>ID.AM-330</v>
      </c>
    </row>
    <row r="223" spans="1:7" x14ac:dyDescent="0.25">
      <c r="A223" t="s">
        <v>1028</v>
      </c>
      <c r="B223" s="615">
        <v>3</v>
      </c>
      <c r="C223" t="s">
        <v>507</v>
      </c>
      <c r="D223" t="s">
        <v>1879</v>
      </c>
      <c r="E223" s="615">
        <f ca="1">VLOOKUP(A223,Data!C:I,7,FALSE)</f>
        <v>0</v>
      </c>
      <c r="F223" s="709" t="str">
        <f t="shared" si="30"/>
        <v>ID.BE-43</v>
      </c>
      <c r="G223" s="709" t="str">
        <f t="shared" ca="1" si="31"/>
        <v>ID.BE-430</v>
      </c>
    </row>
    <row r="224" spans="1:7" x14ac:dyDescent="0.25">
      <c r="A224" t="s">
        <v>1029</v>
      </c>
      <c r="B224" s="615">
        <v>3</v>
      </c>
      <c r="C224" t="s">
        <v>507</v>
      </c>
      <c r="D224" t="s">
        <v>1879</v>
      </c>
      <c r="E224" s="615">
        <f ca="1">VLOOKUP(A224,Data!C:I,7,FALSE)</f>
        <v>0</v>
      </c>
      <c r="F224" s="709" t="str">
        <f t="shared" si="30"/>
        <v>ID.BE-43</v>
      </c>
      <c r="G224" s="709" t="str">
        <f t="shared" ca="1" si="31"/>
        <v>ID.BE-430</v>
      </c>
    </row>
    <row r="225" spans="1:7" x14ac:dyDescent="0.25">
      <c r="A225" t="s">
        <v>1029</v>
      </c>
      <c r="B225" s="615">
        <v>3</v>
      </c>
      <c r="C225" t="s">
        <v>507</v>
      </c>
      <c r="D225" t="s">
        <v>1880</v>
      </c>
      <c r="E225" s="615">
        <f ca="1">VLOOKUP(A225,Data!C:I,7,FALSE)</f>
        <v>0</v>
      </c>
      <c r="F225" s="709" t="str">
        <f t="shared" si="30"/>
        <v>ID.RA-53</v>
      </c>
      <c r="G225" s="709" t="str">
        <f t="shared" ca="1" si="31"/>
        <v>ID.RA-530</v>
      </c>
    </row>
    <row r="226" spans="1:7" x14ac:dyDescent="0.25">
      <c r="A226" t="s">
        <v>1030</v>
      </c>
      <c r="B226" s="615">
        <v>3</v>
      </c>
      <c r="C226" t="s">
        <v>1829</v>
      </c>
      <c r="D226" t="s">
        <v>1868</v>
      </c>
      <c r="E226" s="615">
        <f ca="1">VLOOKUP(A226,Data!C:I,7,FALSE)</f>
        <v>0</v>
      </c>
      <c r="F226" s="709" t="str">
        <f t="shared" si="30"/>
        <v>PR.DS-33</v>
      </c>
      <c r="G226" s="709" t="str">
        <f t="shared" ca="1" si="31"/>
        <v>PR.DS-330</v>
      </c>
    </row>
    <row r="227" spans="1:7" x14ac:dyDescent="0.25">
      <c r="A227" t="s">
        <v>1030</v>
      </c>
      <c r="B227" s="615">
        <v>3</v>
      </c>
      <c r="C227" t="s">
        <v>1829</v>
      </c>
      <c r="D227" t="s">
        <v>1881</v>
      </c>
      <c r="E227" s="615">
        <f ca="1">VLOOKUP(A227,Data!C:I,7,FALSE)</f>
        <v>0</v>
      </c>
      <c r="F227" s="709" t="str">
        <f t="shared" si="30"/>
        <v>PR.IP-63</v>
      </c>
      <c r="G227" s="709" t="str">
        <f t="shared" ca="1" si="31"/>
        <v>PR.IP-630</v>
      </c>
    </row>
    <row r="228" spans="1:7" x14ac:dyDescent="0.25">
      <c r="A228" t="s">
        <v>111</v>
      </c>
      <c r="B228" s="615">
        <v>1</v>
      </c>
      <c r="C228" t="s">
        <v>1829</v>
      </c>
      <c r="D228" t="s">
        <v>1867</v>
      </c>
      <c r="E228" s="615">
        <f ca="1">VLOOKUP(A228,Data!C:I,7,FALSE)</f>
        <v>0</v>
      </c>
      <c r="F228" s="709" t="str">
        <f t="shared" si="30"/>
        <v>PR.DS-81</v>
      </c>
      <c r="G228" s="709" t="str">
        <f t="shared" ca="1" si="31"/>
        <v>PR.DS-810</v>
      </c>
    </row>
    <row r="229" spans="1:7" x14ac:dyDescent="0.25">
      <c r="A229" t="s">
        <v>111</v>
      </c>
      <c r="B229" s="615">
        <v>1</v>
      </c>
      <c r="C229" t="s">
        <v>1829</v>
      </c>
      <c r="D229" t="s">
        <v>1883</v>
      </c>
      <c r="E229" s="615">
        <f ca="1">VLOOKUP(A229,Data!C:I,7,FALSE)</f>
        <v>0</v>
      </c>
      <c r="F229" s="709" t="str">
        <f t="shared" si="30"/>
        <v>PR.IP-11</v>
      </c>
      <c r="G229" s="709" t="str">
        <f t="shared" ca="1" si="31"/>
        <v>PR.IP-110</v>
      </c>
    </row>
    <row r="230" spans="1:7" x14ac:dyDescent="0.25">
      <c r="A230" t="s">
        <v>113</v>
      </c>
      <c r="B230" s="615">
        <v>2</v>
      </c>
      <c r="C230" t="s">
        <v>1829</v>
      </c>
      <c r="D230" t="s">
        <v>1867</v>
      </c>
      <c r="E230" s="615">
        <f ca="1">VLOOKUP(A230,Data!C:I,7,FALSE)</f>
        <v>0</v>
      </c>
      <c r="F230" s="709" t="str">
        <f t="shared" si="30"/>
        <v>PR.DS-82</v>
      </c>
      <c r="G230" s="709" t="str">
        <f t="shared" ca="1" si="31"/>
        <v>PR.DS-820</v>
      </c>
    </row>
    <row r="231" spans="1:7" x14ac:dyDescent="0.25">
      <c r="A231" t="s">
        <v>113</v>
      </c>
      <c r="B231" s="615">
        <v>2</v>
      </c>
      <c r="C231" t="s">
        <v>1829</v>
      </c>
      <c r="D231" t="s">
        <v>1883</v>
      </c>
      <c r="E231" s="615">
        <f ca="1">VLOOKUP(A231,Data!C:I,7,FALSE)</f>
        <v>0</v>
      </c>
      <c r="F231" s="709" t="str">
        <f t="shared" si="30"/>
        <v>PR.IP-12</v>
      </c>
      <c r="G231" s="709" t="str">
        <f t="shared" ca="1" si="31"/>
        <v>PR.IP-120</v>
      </c>
    </row>
    <row r="232" spans="1:7" x14ac:dyDescent="0.25">
      <c r="A232" t="s">
        <v>113</v>
      </c>
      <c r="B232" s="615">
        <v>2</v>
      </c>
      <c r="C232" t="s">
        <v>1829</v>
      </c>
      <c r="D232" t="s">
        <v>1872</v>
      </c>
      <c r="E232" s="615">
        <f ca="1">VLOOKUP(A232,Data!C:I,7,FALSE)</f>
        <v>0</v>
      </c>
      <c r="F232" s="709" t="str">
        <f t="shared" si="30"/>
        <v>PR.IP-32</v>
      </c>
      <c r="G232" s="709" t="str">
        <f t="shared" ca="1" si="31"/>
        <v>PR.IP-320</v>
      </c>
    </row>
    <row r="233" spans="1:7" x14ac:dyDescent="0.25">
      <c r="A233" t="s">
        <v>115</v>
      </c>
      <c r="B233" s="615">
        <v>3</v>
      </c>
      <c r="C233" t="s">
        <v>1829</v>
      </c>
      <c r="D233" t="s">
        <v>1883</v>
      </c>
      <c r="E233" s="615">
        <f ca="1">VLOOKUP(A233,Data!C:I,7,FALSE)</f>
        <v>0</v>
      </c>
      <c r="F233" s="709" t="str">
        <f t="shared" si="30"/>
        <v>PR.IP-13</v>
      </c>
      <c r="G233" s="709" t="str">
        <f t="shared" ca="1" si="31"/>
        <v>PR.IP-130</v>
      </c>
    </row>
    <row r="234" spans="1:7" x14ac:dyDescent="0.25">
      <c r="A234" t="s">
        <v>117</v>
      </c>
      <c r="B234" s="615">
        <v>3</v>
      </c>
      <c r="C234" t="s">
        <v>1829</v>
      </c>
      <c r="D234" t="s">
        <v>1883</v>
      </c>
      <c r="E234" s="615">
        <f ca="1">VLOOKUP(A234,Data!C:I,7,FALSE)</f>
        <v>0</v>
      </c>
      <c r="F234" s="709" t="str">
        <f t="shared" si="30"/>
        <v>PR.IP-13</v>
      </c>
      <c r="G234" s="709" t="str">
        <f t="shared" ca="1" si="31"/>
        <v>PR.IP-130</v>
      </c>
    </row>
    <row r="235" spans="1:7" x14ac:dyDescent="0.25">
      <c r="A235" t="s">
        <v>119</v>
      </c>
      <c r="B235" s="615">
        <v>3</v>
      </c>
      <c r="C235" t="s">
        <v>1829</v>
      </c>
      <c r="D235" t="s">
        <v>1867</v>
      </c>
      <c r="E235" s="615">
        <f ca="1">VLOOKUP(A235,Data!C:I,7,FALSE)</f>
        <v>0</v>
      </c>
      <c r="F235" s="709" t="str">
        <f t="shared" si="30"/>
        <v>PR.DS-83</v>
      </c>
      <c r="G235" s="709" t="str">
        <f t="shared" ca="1" si="31"/>
        <v>PR.DS-830</v>
      </c>
    </row>
    <row r="236" spans="1:7" x14ac:dyDescent="0.25">
      <c r="A236" t="s">
        <v>120</v>
      </c>
      <c r="B236" s="615">
        <v>3</v>
      </c>
      <c r="C236" t="s">
        <v>1829</v>
      </c>
      <c r="D236" t="s">
        <v>1883</v>
      </c>
      <c r="E236" s="615">
        <f ca="1">VLOOKUP(A236,Data!C:I,7,FALSE)</f>
        <v>0</v>
      </c>
      <c r="F236" s="709" t="str">
        <f t="shared" si="30"/>
        <v>PR.IP-13</v>
      </c>
      <c r="G236" s="709" t="str">
        <f t="shared" ca="1" si="31"/>
        <v>PR.IP-130</v>
      </c>
    </row>
    <row r="237" spans="1:7" x14ac:dyDescent="0.25">
      <c r="A237" t="s">
        <v>122</v>
      </c>
      <c r="B237" s="615">
        <v>1</v>
      </c>
      <c r="C237" t="s">
        <v>1829</v>
      </c>
      <c r="D237" t="s">
        <v>1868</v>
      </c>
      <c r="E237" s="615">
        <f ca="1">VLOOKUP(A237,Data!C:I,7,FALSE)</f>
        <v>0</v>
      </c>
      <c r="F237" s="709" t="str">
        <f t="shared" si="30"/>
        <v>PR.DS-31</v>
      </c>
      <c r="G237" s="709" t="str">
        <f t="shared" ca="1" si="31"/>
        <v>PR.DS-310</v>
      </c>
    </row>
    <row r="238" spans="1:7" x14ac:dyDescent="0.25">
      <c r="A238" t="s">
        <v>122</v>
      </c>
      <c r="B238" s="615">
        <v>1</v>
      </c>
      <c r="C238" t="s">
        <v>1829</v>
      </c>
      <c r="D238" t="s">
        <v>1872</v>
      </c>
      <c r="E238" s="615">
        <f ca="1">VLOOKUP(A238,Data!C:I,7,FALSE)</f>
        <v>0</v>
      </c>
      <c r="F238" s="709" t="str">
        <f t="shared" si="30"/>
        <v>PR.IP-31</v>
      </c>
      <c r="G238" s="709" t="str">
        <f t="shared" ca="1" si="31"/>
        <v>PR.IP-310</v>
      </c>
    </row>
    <row r="239" spans="1:7" x14ac:dyDescent="0.25">
      <c r="A239" t="s">
        <v>125</v>
      </c>
      <c r="B239" s="615">
        <v>1</v>
      </c>
      <c r="C239" t="s">
        <v>1829</v>
      </c>
      <c r="D239" t="s">
        <v>1868</v>
      </c>
      <c r="E239" s="615">
        <f ca="1">VLOOKUP(A239,Data!C:I,7,FALSE)</f>
        <v>0</v>
      </c>
      <c r="F239" s="709" t="str">
        <f t="shared" si="30"/>
        <v>PR.DS-31</v>
      </c>
      <c r="G239" s="709" t="str">
        <f t="shared" ca="1" si="31"/>
        <v>PR.DS-310</v>
      </c>
    </row>
    <row r="240" spans="1:7" x14ac:dyDescent="0.25">
      <c r="A240" t="s">
        <v>125</v>
      </c>
      <c r="B240" s="615">
        <v>1</v>
      </c>
      <c r="C240" t="s">
        <v>1829</v>
      </c>
      <c r="D240" t="s">
        <v>1872</v>
      </c>
      <c r="E240" s="615">
        <f ca="1">VLOOKUP(A240,Data!C:I,7,FALSE)</f>
        <v>0</v>
      </c>
      <c r="F240" s="709" t="str">
        <f t="shared" si="30"/>
        <v>PR.IP-31</v>
      </c>
      <c r="G240" s="709" t="str">
        <f t="shared" ca="1" si="31"/>
        <v>PR.IP-310</v>
      </c>
    </row>
    <row r="241" spans="1:7" x14ac:dyDescent="0.25">
      <c r="A241" t="s">
        <v>125</v>
      </c>
      <c r="B241" s="615">
        <v>1</v>
      </c>
      <c r="C241" t="s">
        <v>1829</v>
      </c>
      <c r="D241" t="s">
        <v>1884</v>
      </c>
      <c r="E241" s="615">
        <f ca="1">VLOOKUP(A241,Data!C:I,7,FALSE)</f>
        <v>0</v>
      </c>
      <c r="F241" s="709" t="str">
        <f t="shared" si="30"/>
        <v>PR.MA-11</v>
      </c>
      <c r="G241" s="709" t="str">
        <f t="shared" ca="1" si="31"/>
        <v>PR.MA-110</v>
      </c>
    </row>
    <row r="242" spans="1:7" x14ac:dyDescent="0.25">
      <c r="A242" t="s">
        <v>128</v>
      </c>
      <c r="B242" s="615">
        <v>2</v>
      </c>
      <c r="C242" t="s">
        <v>1829</v>
      </c>
      <c r="D242" t="s">
        <v>1868</v>
      </c>
      <c r="E242" s="615">
        <f ca="1">VLOOKUP(A242,Data!C:I,7,FALSE)</f>
        <v>0</v>
      </c>
      <c r="F242" s="709" t="str">
        <f t="shared" si="30"/>
        <v>PR.DS-32</v>
      </c>
      <c r="G242" s="709" t="str">
        <f t="shared" ca="1" si="31"/>
        <v>PR.DS-320</v>
      </c>
    </row>
    <row r="243" spans="1:7" x14ac:dyDescent="0.25">
      <c r="A243" t="s">
        <v>128</v>
      </c>
      <c r="B243" s="615">
        <v>2</v>
      </c>
      <c r="C243" t="s">
        <v>1829</v>
      </c>
      <c r="D243" t="s">
        <v>1870</v>
      </c>
      <c r="E243" s="615">
        <f ca="1">VLOOKUP(A243,Data!C:I,7,FALSE)</f>
        <v>0</v>
      </c>
      <c r="F243" s="709" t="str">
        <f t="shared" si="30"/>
        <v>PR.DS-72</v>
      </c>
      <c r="G243" s="709" t="str">
        <f t="shared" ca="1" si="31"/>
        <v>PR.DS-720</v>
      </c>
    </row>
    <row r="244" spans="1:7" x14ac:dyDescent="0.25">
      <c r="A244" t="s">
        <v>128</v>
      </c>
      <c r="B244" s="615">
        <v>2</v>
      </c>
      <c r="C244" t="s">
        <v>1829</v>
      </c>
      <c r="D244" t="s">
        <v>1872</v>
      </c>
      <c r="E244" s="615">
        <f ca="1">VLOOKUP(A244,Data!C:I,7,FALSE)</f>
        <v>0</v>
      </c>
      <c r="F244" s="709" t="str">
        <f t="shared" si="30"/>
        <v>PR.IP-32</v>
      </c>
      <c r="G244" s="709" t="str">
        <f t="shared" ca="1" si="31"/>
        <v>PR.IP-320</v>
      </c>
    </row>
    <row r="245" spans="1:7" x14ac:dyDescent="0.25">
      <c r="A245" t="s">
        <v>131</v>
      </c>
      <c r="B245" s="615">
        <v>2</v>
      </c>
      <c r="C245" t="s">
        <v>1829</v>
      </c>
      <c r="D245" t="s">
        <v>1868</v>
      </c>
      <c r="E245" s="615">
        <f ca="1">VLOOKUP(A245,Data!C:I,7,FALSE)</f>
        <v>0</v>
      </c>
      <c r="F245" s="709" t="str">
        <f t="shared" si="30"/>
        <v>PR.DS-32</v>
      </c>
      <c r="G245" s="709" t="str">
        <f t="shared" ca="1" si="31"/>
        <v>PR.DS-320</v>
      </c>
    </row>
    <row r="246" spans="1:7" x14ac:dyDescent="0.25">
      <c r="A246" t="s">
        <v>131</v>
      </c>
      <c r="B246" s="615">
        <v>2</v>
      </c>
      <c r="C246" t="s">
        <v>1829</v>
      </c>
      <c r="D246" t="s">
        <v>1885</v>
      </c>
      <c r="E246" s="615">
        <f ca="1">VLOOKUP(A246,Data!C:I,7,FALSE)</f>
        <v>0</v>
      </c>
      <c r="F246" s="709" t="str">
        <f t="shared" si="30"/>
        <v>PR.IP-22</v>
      </c>
      <c r="G246" s="709" t="str">
        <f t="shared" ca="1" si="31"/>
        <v>PR.IP-220</v>
      </c>
    </row>
    <row r="247" spans="1:7" x14ac:dyDescent="0.25">
      <c r="A247" t="s">
        <v>131</v>
      </c>
      <c r="B247" s="615">
        <v>2</v>
      </c>
      <c r="C247" t="s">
        <v>1829</v>
      </c>
      <c r="D247" t="s">
        <v>1872</v>
      </c>
      <c r="E247" s="615">
        <f ca="1">VLOOKUP(A247,Data!C:I,7,FALSE)</f>
        <v>0</v>
      </c>
      <c r="F247" s="709" t="str">
        <f t="shared" si="30"/>
        <v>PR.IP-32</v>
      </c>
      <c r="G247" s="709" t="str">
        <f t="shared" ca="1" si="31"/>
        <v>PR.IP-320</v>
      </c>
    </row>
    <row r="248" spans="1:7" x14ac:dyDescent="0.25">
      <c r="A248" t="s">
        <v>131</v>
      </c>
      <c r="B248" s="615">
        <v>2</v>
      </c>
      <c r="C248" t="s">
        <v>1829</v>
      </c>
      <c r="D248" t="s">
        <v>1881</v>
      </c>
      <c r="E248" s="615">
        <f ca="1">VLOOKUP(A248,Data!C:I,7,FALSE)</f>
        <v>0</v>
      </c>
      <c r="F248" s="709" t="str">
        <f t="shared" si="30"/>
        <v>PR.IP-62</v>
      </c>
      <c r="G248" s="709" t="str">
        <f t="shared" ca="1" si="31"/>
        <v>PR.IP-620</v>
      </c>
    </row>
    <row r="249" spans="1:7" x14ac:dyDescent="0.25">
      <c r="A249" t="s">
        <v>134</v>
      </c>
      <c r="B249" s="615">
        <v>3</v>
      </c>
      <c r="C249" t="s">
        <v>1829</v>
      </c>
      <c r="D249" t="s">
        <v>1870</v>
      </c>
      <c r="E249" s="615">
        <f ca="1">VLOOKUP(A249,Data!C:I,7,FALSE)</f>
        <v>0</v>
      </c>
      <c r="F249" s="709" t="str">
        <f t="shared" si="30"/>
        <v>PR.DS-73</v>
      </c>
      <c r="G249" s="709" t="str">
        <f t="shared" ca="1" si="31"/>
        <v>PR.DS-730</v>
      </c>
    </row>
    <row r="250" spans="1:7" x14ac:dyDescent="0.25">
      <c r="A250" t="s">
        <v>134</v>
      </c>
      <c r="B250" s="615">
        <v>3</v>
      </c>
      <c r="C250" t="s">
        <v>1829</v>
      </c>
      <c r="D250" t="s">
        <v>1872</v>
      </c>
      <c r="E250" s="615">
        <f ca="1">VLOOKUP(A250,Data!C:I,7,FALSE)</f>
        <v>0</v>
      </c>
      <c r="F250" s="709" t="str">
        <f t="shared" si="30"/>
        <v>PR.IP-33</v>
      </c>
      <c r="G250" s="709" t="str">
        <f t="shared" ca="1" si="31"/>
        <v>PR.IP-330</v>
      </c>
    </row>
    <row r="251" spans="1:7" x14ac:dyDescent="0.25">
      <c r="A251" t="s">
        <v>136</v>
      </c>
      <c r="B251" s="615">
        <v>3</v>
      </c>
      <c r="C251" t="s">
        <v>1829</v>
      </c>
      <c r="D251" t="s">
        <v>1868</v>
      </c>
      <c r="E251" s="615">
        <f ca="1">VLOOKUP(A251,Data!C:I,7,FALSE)</f>
        <v>0</v>
      </c>
      <c r="F251" s="709" t="str">
        <f t="shared" si="30"/>
        <v>PR.DS-33</v>
      </c>
      <c r="G251" s="709" t="str">
        <f t="shared" ca="1" si="31"/>
        <v>PR.DS-330</v>
      </c>
    </row>
    <row r="252" spans="1:7" x14ac:dyDescent="0.25">
      <c r="A252" t="s">
        <v>136</v>
      </c>
      <c r="B252" s="615">
        <v>3</v>
      </c>
      <c r="C252" t="s">
        <v>1829</v>
      </c>
      <c r="D252" t="s">
        <v>1872</v>
      </c>
      <c r="E252" s="615">
        <f ca="1">VLOOKUP(A252,Data!C:I,7,FALSE)</f>
        <v>0</v>
      </c>
      <c r="F252" s="709" t="str">
        <f t="shared" si="30"/>
        <v>PR.IP-33</v>
      </c>
      <c r="G252" s="709" t="str">
        <f t="shared" ca="1" si="31"/>
        <v>PR.IP-330</v>
      </c>
    </row>
    <row r="253" spans="1:7" x14ac:dyDescent="0.25">
      <c r="A253" t="s">
        <v>136</v>
      </c>
      <c r="B253" s="615">
        <v>3</v>
      </c>
      <c r="C253" t="s">
        <v>1829</v>
      </c>
      <c r="D253" t="s">
        <v>1884</v>
      </c>
      <c r="E253" s="615">
        <f ca="1">VLOOKUP(A253,Data!C:I,7,FALSE)</f>
        <v>0</v>
      </c>
      <c r="F253" s="709" t="str">
        <f t="shared" si="30"/>
        <v>PR.MA-13</v>
      </c>
      <c r="G253" s="709" t="str">
        <f t="shared" ca="1" si="31"/>
        <v>PR.MA-130</v>
      </c>
    </row>
    <row r="254" spans="1:7" x14ac:dyDescent="0.25">
      <c r="A254" t="s">
        <v>139</v>
      </c>
      <c r="B254" s="615">
        <v>2</v>
      </c>
      <c r="C254" t="s">
        <v>1829</v>
      </c>
      <c r="D254" t="s">
        <v>1868</v>
      </c>
      <c r="E254" s="615">
        <f ca="1">VLOOKUP(A254,Data!C:I,7,FALSE)</f>
        <v>0</v>
      </c>
      <c r="F254" s="709" t="str">
        <f t="shared" si="30"/>
        <v>PR.DS-32</v>
      </c>
      <c r="G254" s="709" t="str">
        <f t="shared" ca="1" si="31"/>
        <v>PR.DS-320</v>
      </c>
    </row>
    <row r="255" spans="1:7" x14ac:dyDescent="0.25">
      <c r="A255" t="s">
        <v>139</v>
      </c>
      <c r="B255" s="615">
        <v>2</v>
      </c>
      <c r="C255" t="s">
        <v>1829</v>
      </c>
      <c r="D255" t="s">
        <v>1872</v>
      </c>
      <c r="E255" s="615">
        <f ca="1">VLOOKUP(A255,Data!C:I,7,FALSE)</f>
        <v>0</v>
      </c>
      <c r="F255" s="709" t="str">
        <f t="shared" si="30"/>
        <v>PR.IP-32</v>
      </c>
      <c r="G255" s="709" t="str">
        <f t="shared" ca="1" si="31"/>
        <v>PR.IP-320</v>
      </c>
    </row>
    <row r="256" spans="1:7" x14ac:dyDescent="0.25">
      <c r="A256" t="s">
        <v>142</v>
      </c>
      <c r="B256" s="615">
        <v>2</v>
      </c>
      <c r="C256" t="s">
        <v>1829</v>
      </c>
      <c r="D256" t="s">
        <v>1868</v>
      </c>
      <c r="E256" s="615">
        <f ca="1">VLOOKUP(A256,Data!C:I,7,FALSE)</f>
        <v>0</v>
      </c>
      <c r="F256" s="709" t="str">
        <f t="shared" si="30"/>
        <v>PR.DS-32</v>
      </c>
      <c r="G256" s="709" t="str">
        <f t="shared" ca="1" si="31"/>
        <v>PR.DS-320</v>
      </c>
    </row>
    <row r="257" spans="1:7" x14ac:dyDescent="0.25">
      <c r="A257" t="s">
        <v>142</v>
      </c>
      <c r="B257" s="615">
        <v>2</v>
      </c>
      <c r="C257" t="s">
        <v>1829</v>
      </c>
      <c r="D257" t="s">
        <v>1884</v>
      </c>
      <c r="E257" s="615">
        <f ca="1">VLOOKUP(A257,Data!C:I,7,FALSE)</f>
        <v>0</v>
      </c>
      <c r="F257" s="709" t="str">
        <f t="shared" si="30"/>
        <v>PR.MA-12</v>
      </c>
      <c r="G257" s="709" t="str">
        <f t="shared" ca="1" si="31"/>
        <v>PR.MA-120</v>
      </c>
    </row>
    <row r="258" spans="1:7" x14ac:dyDescent="0.25">
      <c r="A258" t="s">
        <v>145</v>
      </c>
      <c r="B258" s="615">
        <v>3</v>
      </c>
      <c r="C258" t="s">
        <v>1829</v>
      </c>
      <c r="D258" t="s">
        <v>1868</v>
      </c>
      <c r="E258" s="615">
        <f ca="1">VLOOKUP(A258,Data!C:I,7,FALSE)</f>
        <v>0</v>
      </c>
      <c r="F258" s="709" t="str">
        <f t="shared" si="30"/>
        <v>PR.DS-33</v>
      </c>
      <c r="G258" s="709" t="str">
        <f t="shared" ca="1" si="31"/>
        <v>PR.DS-330</v>
      </c>
    </row>
    <row r="259" spans="1:7" x14ac:dyDescent="0.25">
      <c r="A259" t="s">
        <v>145</v>
      </c>
      <c r="B259" s="615">
        <v>3</v>
      </c>
      <c r="C259" t="s">
        <v>1829</v>
      </c>
      <c r="D259" t="s">
        <v>1872</v>
      </c>
      <c r="E259" s="615">
        <f ca="1">VLOOKUP(A259,Data!C:I,7,FALSE)</f>
        <v>0</v>
      </c>
      <c r="F259" s="709" t="str">
        <f t="shared" ref="F259:F322" si="32">CONCATENATE($D259,$B259)</f>
        <v>PR.IP-33</v>
      </c>
      <c r="G259" s="709" t="str">
        <f t="shared" ref="G259:G322" ca="1" si="33">_xlfn.IFNA(CONCATENATE(F259,$E259),CONCATENATE(F259,$E259,0))</f>
        <v>PR.IP-330</v>
      </c>
    </row>
    <row r="260" spans="1:7" x14ac:dyDescent="0.25">
      <c r="A260" t="s">
        <v>145</v>
      </c>
      <c r="B260" s="615">
        <v>3</v>
      </c>
      <c r="C260" t="s">
        <v>1829</v>
      </c>
      <c r="D260" t="s">
        <v>1886</v>
      </c>
      <c r="E260" s="615">
        <f ca="1">VLOOKUP(A260,Data!C:I,7,FALSE)</f>
        <v>0</v>
      </c>
      <c r="F260" s="709" t="str">
        <f t="shared" si="32"/>
        <v>PR.IP-53</v>
      </c>
      <c r="G260" s="709" t="str">
        <f t="shared" ca="1" si="33"/>
        <v>PR.IP-530</v>
      </c>
    </row>
    <row r="261" spans="1:7" x14ac:dyDescent="0.25">
      <c r="A261" t="s">
        <v>150</v>
      </c>
      <c r="B261" s="615">
        <v>3</v>
      </c>
      <c r="C261" t="s">
        <v>507</v>
      </c>
      <c r="D261" t="s">
        <v>1857</v>
      </c>
      <c r="E261" s="615">
        <f ca="1">VLOOKUP(A261,Data!C:I,7,FALSE)</f>
        <v>0</v>
      </c>
      <c r="F261" s="709" t="str">
        <f t="shared" si="32"/>
        <v>ID.AM-63</v>
      </c>
      <c r="G261" s="709" t="str">
        <f t="shared" ca="1" si="33"/>
        <v>ID.AM-630</v>
      </c>
    </row>
    <row r="262" spans="1:7" x14ac:dyDescent="0.25">
      <c r="A262" t="s">
        <v>150</v>
      </c>
      <c r="B262" s="615">
        <v>3</v>
      </c>
      <c r="C262" t="s">
        <v>507</v>
      </c>
      <c r="D262" t="s">
        <v>1858</v>
      </c>
      <c r="E262" s="615">
        <f ca="1">VLOOKUP(A262,Data!C:I,7,FALSE)</f>
        <v>0</v>
      </c>
      <c r="F262" s="709" t="str">
        <f t="shared" si="32"/>
        <v>ID.GV-23</v>
      </c>
      <c r="G262" s="709" t="str">
        <f t="shared" ca="1" si="33"/>
        <v>ID.GV-230</v>
      </c>
    </row>
    <row r="263" spans="1:7" x14ac:dyDescent="0.25">
      <c r="A263" t="s">
        <v>152</v>
      </c>
      <c r="B263" s="615">
        <v>3</v>
      </c>
      <c r="C263" t="s">
        <v>1829</v>
      </c>
      <c r="D263" t="s">
        <v>1859</v>
      </c>
      <c r="E263" s="615">
        <f ca="1">VLOOKUP(A263,Data!C:I,7,FALSE)</f>
        <v>0</v>
      </c>
      <c r="F263" s="709" t="str">
        <f t="shared" si="32"/>
        <v>PR.IP-83</v>
      </c>
      <c r="G263" s="709" t="str">
        <f t="shared" ca="1" si="33"/>
        <v>PR.IP-830</v>
      </c>
    </row>
    <row r="264" spans="1:7" x14ac:dyDescent="0.25">
      <c r="A264" t="s">
        <v>419</v>
      </c>
      <c r="B264" s="615">
        <v>1</v>
      </c>
      <c r="C264" t="s">
        <v>507</v>
      </c>
      <c r="D264" t="s">
        <v>1887</v>
      </c>
      <c r="E264" s="615">
        <f ca="1">VLOOKUP(A264,Data!C:I,7,FALSE)</f>
        <v>0</v>
      </c>
      <c r="F264" s="709" t="str">
        <f t="shared" si="32"/>
        <v>ID.BE-21</v>
      </c>
      <c r="G264" s="709" t="str">
        <f t="shared" ca="1" si="33"/>
        <v>ID.BE-210</v>
      </c>
    </row>
    <row r="265" spans="1:7" x14ac:dyDescent="0.25">
      <c r="A265" t="s">
        <v>419</v>
      </c>
      <c r="B265" s="615">
        <v>1</v>
      </c>
      <c r="C265" t="s">
        <v>507</v>
      </c>
      <c r="D265" t="s">
        <v>1879</v>
      </c>
      <c r="E265" s="615">
        <f ca="1">VLOOKUP(A265,Data!C:I,7,FALSE)</f>
        <v>0</v>
      </c>
      <c r="F265" s="709" t="str">
        <f t="shared" si="32"/>
        <v>ID.BE-41</v>
      </c>
      <c r="G265" s="709" t="str">
        <f t="shared" ca="1" si="33"/>
        <v>ID.BE-410</v>
      </c>
    </row>
    <row r="266" spans="1:7" x14ac:dyDescent="0.25">
      <c r="A266" t="s">
        <v>420</v>
      </c>
      <c r="B266" s="615">
        <v>1</v>
      </c>
      <c r="C266" t="s">
        <v>507</v>
      </c>
      <c r="D266" t="s">
        <v>1882</v>
      </c>
      <c r="E266" s="615">
        <f ca="1">VLOOKUP(A266,Data!C:I,7,FALSE)</f>
        <v>0</v>
      </c>
      <c r="F266" s="709" t="str">
        <f t="shared" si="32"/>
        <v>ID.AM-31</v>
      </c>
      <c r="G266" s="709" t="str">
        <f t="shared" ca="1" si="33"/>
        <v>ID.AM-310</v>
      </c>
    </row>
    <row r="267" spans="1:7" x14ac:dyDescent="0.25">
      <c r="A267" t="s">
        <v>420</v>
      </c>
      <c r="B267" s="615">
        <v>1</v>
      </c>
      <c r="C267" t="s">
        <v>507</v>
      </c>
      <c r="D267" t="s">
        <v>1879</v>
      </c>
      <c r="E267" s="615">
        <f ca="1">VLOOKUP(A267,Data!C:I,7,FALSE)</f>
        <v>0</v>
      </c>
      <c r="F267" s="709" t="str">
        <f t="shared" si="32"/>
        <v>ID.BE-41</v>
      </c>
      <c r="G267" s="709" t="str">
        <f t="shared" ca="1" si="33"/>
        <v>ID.BE-410</v>
      </c>
    </row>
    <row r="268" spans="1:7" x14ac:dyDescent="0.25">
      <c r="A268" t="s">
        <v>421</v>
      </c>
      <c r="B268" s="615">
        <v>1</v>
      </c>
      <c r="C268" t="s">
        <v>507</v>
      </c>
      <c r="D268" t="s">
        <v>1879</v>
      </c>
      <c r="E268" s="615">
        <f ca="1">VLOOKUP(A268,Data!C:I,7,FALSE)</f>
        <v>0</v>
      </c>
      <c r="F268" s="709" t="str">
        <f t="shared" si="32"/>
        <v>ID.BE-41</v>
      </c>
      <c r="G268" s="709" t="str">
        <f t="shared" ca="1" si="33"/>
        <v>ID.BE-410</v>
      </c>
    </row>
    <row r="269" spans="1:7" x14ac:dyDescent="0.25">
      <c r="A269" t="s">
        <v>422</v>
      </c>
      <c r="B269" s="615">
        <v>1</v>
      </c>
      <c r="C269" t="s">
        <v>507</v>
      </c>
      <c r="D269" t="s">
        <v>1876</v>
      </c>
      <c r="E269" s="615">
        <f ca="1">VLOOKUP(A269,Data!C:I,7,FALSE)</f>
        <v>0</v>
      </c>
      <c r="F269" s="709" t="str">
        <f t="shared" si="32"/>
        <v>ID.AM-11</v>
      </c>
      <c r="G269" s="709" t="str">
        <f t="shared" ca="1" si="33"/>
        <v>ID.AM-110</v>
      </c>
    </row>
    <row r="270" spans="1:7" x14ac:dyDescent="0.25">
      <c r="A270" t="s">
        <v>422</v>
      </c>
      <c r="B270" s="615">
        <v>1</v>
      </c>
      <c r="C270" t="s">
        <v>507</v>
      </c>
      <c r="D270" t="s">
        <v>1879</v>
      </c>
      <c r="E270" s="615">
        <f ca="1">VLOOKUP(A270,Data!C:I,7,FALSE)</f>
        <v>0</v>
      </c>
      <c r="F270" s="709" t="str">
        <f t="shared" si="32"/>
        <v>ID.BE-41</v>
      </c>
      <c r="G270" s="709" t="str">
        <f t="shared" ca="1" si="33"/>
        <v>ID.BE-410</v>
      </c>
    </row>
    <row r="271" spans="1:7" x14ac:dyDescent="0.25">
      <c r="A271" t="s">
        <v>423</v>
      </c>
      <c r="B271" s="615">
        <v>2</v>
      </c>
      <c r="C271" t="s">
        <v>507</v>
      </c>
      <c r="D271" t="s">
        <v>1877</v>
      </c>
      <c r="E271" s="615">
        <f ca="1">VLOOKUP(A271,Data!C:I,7,FALSE)</f>
        <v>0</v>
      </c>
      <c r="F271" s="709" t="str">
        <f t="shared" si="32"/>
        <v>ID.AM-22</v>
      </c>
      <c r="G271" s="709" t="str">
        <f t="shared" ca="1" si="33"/>
        <v>ID.AM-220</v>
      </c>
    </row>
    <row r="272" spans="1:7" x14ac:dyDescent="0.25">
      <c r="A272" t="s">
        <v>423</v>
      </c>
      <c r="B272" s="615">
        <v>2</v>
      </c>
      <c r="C272" t="s">
        <v>507</v>
      </c>
      <c r="D272" t="s">
        <v>1879</v>
      </c>
      <c r="E272" s="615">
        <f ca="1">VLOOKUP(A272,Data!C:I,7,FALSE)</f>
        <v>0</v>
      </c>
      <c r="F272" s="709" t="str">
        <f t="shared" si="32"/>
        <v>ID.BE-42</v>
      </c>
      <c r="G272" s="709" t="str">
        <f t="shared" ca="1" si="33"/>
        <v>ID.BE-420</v>
      </c>
    </row>
    <row r="273" spans="1:7" x14ac:dyDescent="0.25">
      <c r="A273" t="s">
        <v>424</v>
      </c>
      <c r="B273" s="615">
        <v>2</v>
      </c>
      <c r="C273" t="s">
        <v>507</v>
      </c>
      <c r="D273" t="s">
        <v>1888</v>
      </c>
      <c r="E273" s="615">
        <f ca="1">VLOOKUP(A273,Data!C:I,7,FALSE)</f>
        <v>0</v>
      </c>
      <c r="F273" s="709" t="str">
        <f t="shared" si="32"/>
        <v>ID.AM-42</v>
      </c>
      <c r="G273" s="709" t="str">
        <f t="shared" ca="1" si="33"/>
        <v>ID.AM-420</v>
      </c>
    </row>
    <row r="274" spans="1:7" x14ac:dyDescent="0.25">
      <c r="A274" t="s">
        <v>424</v>
      </c>
      <c r="B274" s="615">
        <v>2</v>
      </c>
      <c r="C274" t="s">
        <v>507</v>
      </c>
      <c r="D274" t="s">
        <v>1889</v>
      </c>
      <c r="E274" s="615">
        <f ca="1">VLOOKUP(A274,Data!C:I,7,FALSE)</f>
        <v>0</v>
      </c>
      <c r="F274" s="709" t="str">
        <f t="shared" si="32"/>
        <v>ID.BE-12</v>
      </c>
      <c r="G274" s="709" t="str">
        <f t="shared" ca="1" si="33"/>
        <v>ID.BE-120</v>
      </c>
    </row>
    <row r="275" spans="1:7" x14ac:dyDescent="0.25">
      <c r="A275" t="s">
        <v>424</v>
      </c>
      <c r="B275" s="615">
        <v>2</v>
      </c>
      <c r="C275" t="s">
        <v>507</v>
      </c>
      <c r="D275" t="s">
        <v>1879</v>
      </c>
      <c r="E275" s="615">
        <f ca="1">VLOOKUP(A275,Data!C:I,7,FALSE)</f>
        <v>0</v>
      </c>
      <c r="F275" s="709" t="str">
        <f t="shared" si="32"/>
        <v>ID.BE-42</v>
      </c>
      <c r="G275" s="709" t="str">
        <f t="shared" ca="1" si="33"/>
        <v>ID.BE-420</v>
      </c>
    </row>
    <row r="276" spans="1:7" x14ac:dyDescent="0.25">
      <c r="A276" t="s">
        <v>424</v>
      </c>
      <c r="B276" s="615">
        <v>2</v>
      </c>
      <c r="C276" t="s">
        <v>507</v>
      </c>
      <c r="D276" t="s">
        <v>1871</v>
      </c>
      <c r="E276" s="615">
        <f ca="1">VLOOKUP(A276,Data!C:I,7,FALSE)</f>
        <v>0</v>
      </c>
      <c r="F276" s="709" t="str">
        <f t="shared" si="32"/>
        <v>ID.SC-22</v>
      </c>
      <c r="G276" s="709" t="str">
        <f t="shared" ca="1" si="33"/>
        <v>ID.SC-220</v>
      </c>
    </row>
    <row r="277" spans="1:7" x14ac:dyDescent="0.25">
      <c r="A277" t="s">
        <v>425</v>
      </c>
      <c r="B277" s="615">
        <v>2</v>
      </c>
      <c r="C277" t="s">
        <v>507</v>
      </c>
      <c r="D277" t="s">
        <v>1879</v>
      </c>
      <c r="E277" s="615">
        <f ca="1">VLOOKUP(A277,Data!C:I,7,FALSE)</f>
        <v>0</v>
      </c>
      <c r="F277" s="709" t="str">
        <f t="shared" si="32"/>
        <v>ID.BE-42</v>
      </c>
      <c r="G277" s="709" t="str">
        <f t="shared" ca="1" si="33"/>
        <v>ID.BE-420</v>
      </c>
    </row>
    <row r="278" spans="1:7" x14ac:dyDescent="0.25">
      <c r="A278" t="s">
        <v>426</v>
      </c>
      <c r="B278" s="615">
        <v>3</v>
      </c>
      <c r="C278" t="s">
        <v>507</v>
      </c>
      <c r="D278" t="s">
        <v>1887</v>
      </c>
      <c r="E278" s="615">
        <f ca="1">VLOOKUP(A278,Data!C:I,7,FALSE)</f>
        <v>0</v>
      </c>
      <c r="F278" s="709" t="str">
        <f t="shared" si="32"/>
        <v>ID.BE-23</v>
      </c>
      <c r="G278" s="709" t="str">
        <f t="shared" ca="1" si="33"/>
        <v>ID.BE-230</v>
      </c>
    </row>
    <row r="279" spans="1:7" x14ac:dyDescent="0.25">
      <c r="A279" t="s">
        <v>426</v>
      </c>
      <c r="B279" s="615">
        <v>3</v>
      </c>
      <c r="C279" t="s">
        <v>507</v>
      </c>
      <c r="D279" t="s">
        <v>1879</v>
      </c>
      <c r="E279" s="615">
        <f ca="1">VLOOKUP(A279,Data!C:I,7,FALSE)</f>
        <v>0</v>
      </c>
      <c r="F279" s="709" t="str">
        <f t="shared" si="32"/>
        <v>ID.BE-43</v>
      </c>
      <c r="G279" s="709" t="str">
        <f t="shared" ca="1" si="33"/>
        <v>ID.BE-430</v>
      </c>
    </row>
    <row r="280" spans="1:7" x14ac:dyDescent="0.25">
      <c r="A280" t="s">
        <v>427</v>
      </c>
      <c r="B280" s="615">
        <v>1</v>
      </c>
      <c r="C280" t="s">
        <v>507</v>
      </c>
      <c r="D280" t="s">
        <v>1876</v>
      </c>
      <c r="E280" s="615">
        <f ca="1">VLOOKUP(A280,Data!C:I,7,FALSE)</f>
        <v>0</v>
      </c>
      <c r="F280" s="709" t="str">
        <f t="shared" si="32"/>
        <v>ID.AM-11</v>
      </c>
      <c r="G280" s="709" t="str">
        <f t="shared" ca="1" si="33"/>
        <v>ID.AM-110</v>
      </c>
    </row>
    <row r="281" spans="1:7" x14ac:dyDescent="0.25">
      <c r="A281" t="s">
        <v>427</v>
      </c>
      <c r="B281" s="615">
        <v>1</v>
      </c>
      <c r="C281" t="s">
        <v>507</v>
      </c>
      <c r="D281" t="s">
        <v>1877</v>
      </c>
      <c r="E281" s="615">
        <f ca="1">VLOOKUP(A281,Data!C:I,7,FALSE)</f>
        <v>0</v>
      </c>
      <c r="F281" s="709" t="str">
        <f t="shared" si="32"/>
        <v>ID.AM-21</v>
      </c>
      <c r="G281" s="709" t="str">
        <f t="shared" ca="1" si="33"/>
        <v>ID.AM-210</v>
      </c>
    </row>
    <row r="282" spans="1:7" x14ac:dyDescent="0.25">
      <c r="A282" t="s">
        <v>427</v>
      </c>
      <c r="B282" s="615">
        <v>1</v>
      </c>
      <c r="C282" t="s">
        <v>507</v>
      </c>
      <c r="D282" t="s">
        <v>1882</v>
      </c>
      <c r="E282" s="615">
        <f ca="1">VLOOKUP(A282,Data!C:I,7,FALSE)</f>
        <v>0</v>
      </c>
      <c r="F282" s="709" t="str">
        <f t="shared" si="32"/>
        <v>ID.AM-31</v>
      </c>
      <c r="G282" s="709" t="str">
        <f t="shared" ca="1" si="33"/>
        <v>ID.AM-310</v>
      </c>
    </row>
    <row r="283" spans="1:7" x14ac:dyDescent="0.25">
      <c r="A283" t="s">
        <v>427</v>
      </c>
      <c r="B283" s="615">
        <v>1</v>
      </c>
      <c r="C283" t="s">
        <v>507</v>
      </c>
      <c r="D283" t="s">
        <v>1888</v>
      </c>
      <c r="E283" s="615">
        <f ca="1">VLOOKUP(A283,Data!C:I,7,FALSE)</f>
        <v>0</v>
      </c>
      <c r="F283" s="709" t="str">
        <f t="shared" si="32"/>
        <v>ID.AM-41</v>
      </c>
      <c r="G283" s="709" t="str">
        <f t="shared" ca="1" si="33"/>
        <v>ID.AM-410</v>
      </c>
    </row>
    <row r="284" spans="1:7" x14ac:dyDescent="0.25">
      <c r="A284" t="s">
        <v>427</v>
      </c>
      <c r="B284" s="615">
        <v>1</v>
      </c>
      <c r="C284" t="s">
        <v>507</v>
      </c>
      <c r="D284" t="s">
        <v>1879</v>
      </c>
      <c r="E284" s="615">
        <f ca="1">VLOOKUP(A284,Data!C:I,7,FALSE)</f>
        <v>0</v>
      </c>
      <c r="F284" s="709" t="str">
        <f t="shared" si="32"/>
        <v>ID.BE-41</v>
      </c>
      <c r="G284" s="709" t="str">
        <f t="shared" ca="1" si="33"/>
        <v>ID.BE-410</v>
      </c>
    </row>
    <row r="285" spans="1:7" x14ac:dyDescent="0.25">
      <c r="A285" t="s">
        <v>427</v>
      </c>
      <c r="B285" s="615">
        <v>1</v>
      </c>
      <c r="C285" t="s">
        <v>507</v>
      </c>
      <c r="D285" t="s">
        <v>1890</v>
      </c>
      <c r="E285" s="615">
        <f ca="1">VLOOKUP(A285,Data!C:I,7,FALSE)</f>
        <v>0</v>
      </c>
      <c r="F285" s="709" t="str">
        <f t="shared" si="32"/>
        <v>ID.GV-11</v>
      </c>
      <c r="G285" s="709" t="str">
        <f t="shared" ca="1" si="33"/>
        <v>ID.GV-110</v>
      </c>
    </row>
    <row r="286" spans="1:7" x14ac:dyDescent="0.25">
      <c r="A286" t="s">
        <v>427</v>
      </c>
      <c r="B286" s="615">
        <v>1</v>
      </c>
      <c r="C286" t="s">
        <v>507</v>
      </c>
      <c r="D286" t="s">
        <v>1891</v>
      </c>
      <c r="E286" s="615">
        <f ca="1">VLOOKUP(A286,Data!C:I,7,FALSE)</f>
        <v>0</v>
      </c>
      <c r="F286" s="709" t="str">
        <f t="shared" si="32"/>
        <v>ID.SC-11</v>
      </c>
      <c r="G286" s="709" t="str">
        <f t="shared" ca="1" si="33"/>
        <v>ID.SC-110</v>
      </c>
    </row>
    <row r="287" spans="1:7" x14ac:dyDescent="0.25">
      <c r="A287" t="s">
        <v>428</v>
      </c>
      <c r="B287" s="615">
        <v>1</v>
      </c>
      <c r="C287" t="s">
        <v>507</v>
      </c>
      <c r="D287" t="s">
        <v>1876</v>
      </c>
      <c r="E287" s="615">
        <f ca="1">VLOOKUP(A287,Data!C:I,7,FALSE)</f>
        <v>0</v>
      </c>
      <c r="F287" s="709" t="str">
        <f t="shared" si="32"/>
        <v>ID.AM-11</v>
      </c>
      <c r="G287" s="709" t="str">
        <f t="shared" ca="1" si="33"/>
        <v>ID.AM-110</v>
      </c>
    </row>
    <row r="288" spans="1:7" x14ac:dyDescent="0.25">
      <c r="A288" t="s">
        <v>428</v>
      </c>
      <c r="B288" s="615">
        <v>1</v>
      </c>
      <c r="C288" t="s">
        <v>507</v>
      </c>
      <c r="D288" t="s">
        <v>1877</v>
      </c>
      <c r="E288" s="615">
        <f ca="1">VLOOKUP(A288,Data!C:I,7,FALSE)</f>
        <v>0</v>
      </c>
      <c r="F288" s="709" t="str">
        <f t="shared" si="32"/>
        <v>ID.AM-21</v>
      </c>
      <c r="G288" s="709" t="str">
        <f t="shared" ca="1" si="33"/>
        <v>ID.AM-210</v>
      </c>
    </row>
    <row r="289" spans="1:7" x14ac:dyDescent="0.25">
      <c r="A289" t="s">
        <v>428</v>
      </c>
      <c r="B289" s="615">
        <v>1</v>
      </c>
      <c r="C289" t="s">
        <v>507</v>
      </c>
      <c r="D289" t="s">
        <v>1882</v>
      </c>
      <c r="E289" s="615">
        <f ca="1">VLOOKUP(A289,Data!C:I,7,FALSE)</f>
        <v>0</v>
      </c>
      <c r="F289" s="709" t="str">
        <f t="shared" si="32"/>
        <v>ID.AM-31</v>
      </c>
      <c r="G289" s="709" t="str">
        <f t="shared" ca="1" si="33"/>
        <v>ID.AM-310</v>
      </c>
    </row>
    <row r="290" spans="1:7" x14ac:dyDescent="0.25">
      <c r="A290" t="s">
        <v>428</v>
      </c>
      <c r="B290" s="615">
        <v>1</v>
      </c>
      <c r="C290" t="s">
        <v>507</v>
      </c>
      <c r="D290" t="s">
        <v>1888</v>
      </c>
      <c r="E290" s="615">
        <f ca="1">VLOOKUP(A290,Data!C:I,7,FALSE)</f>
        <v>0</v>
      </c>
      <c r="F290" s="709" t="str">
        <f t="shared" si="32"/>
        <v>ID.AM-41</v>
      </c>
      <c r="G290" s="709" t="str">
        <f t="shared" ca="1" si="33"/>
        <v>ID.AM-410</v>
      </c>
    </row>
    <row r="291" spans="1:7" x14ac:dyDescent="0.25">
      <c r="A291" t="s">
        <v>428</v>
      </c>
      <c r="B291" s="615">
        <v>1</v>
      </c>
      <c r="C291" t="s">
        <v>507</v>
      </c>
      <c r="D291" t="s">
        <v>1879</v>
      </c>
      <c r="E291" s="615">
        <f ca="1">VLOOKUP(A291,Data!C:I,7,FALSE)</f>
        <v>0</v>
      </c>
      <c r="F291" s="709" t="str">
        <f t="shared" si="32"/>
        <v>ID.BE-41</v>
      </c>
      <c r="G291" s="709" t="str">
        <f t="shared" ca="1" si="33"/>
        <v>ID.BE-410</v>
      </c>
    </row>
    <row r="292" spans="1:7" x14ac:dyDescent="0.25">
      <c r="A292" t="s">
        <v>428</v>
      </c>
      <c r="B292" s="615">
        <v>1</v>
      </c>
      <c r="C292" t="s">
        <v>507</v>
      </c>
      <c r="D292" t="s">
        <v>1890</v>
      </c>
      <c r="E292" s="615">
        <f ca="1">VLOOKUP(A292,Data!C:I,7,FALSE)</f>
        <v>0</v>
      </c>
      <c r="F292" s="709" t="str">
        <f t="shared" si="32"/>
        <v>ID.GV-11</v>
      </c>
      <c r="G292" s="709" t="str">
        <f t="shared" ca="1" si="33"/>
        <v>ID.GV-110</v>
      </c>
    </row>
    <row r="293" spans="1:7" x14ac:dyDescent="0.25">
      <c r="A293" t="s">
        <v>428</v>
      </c>
      <c r="B293" s="615">
        <v>1</v>
      </c>
      <c r="C293" t="s">
        <v>507</v>
      </c>
      <c r="D293" t="s">
        <v>1891</v>
      </c>
      <c r="E293" s="615">
        <f ca="1">VLOOKUP(A293,Data!C:I,7,FALSE)</f>
        <v>0</v>
      </c>
      <c r="F293" s="709" t="str">
        <f t="shared" si="32"/>
        <v>ID.SC-11</v>
      </c>
      <c r="G293" s="709" t="str">
        <f t="shared" ca="1" si="33"/>
        <v>ID.SC-110</v>
      </c>
    </row>
    <row r="294" spans="1:7" x14ac:dyDescent="0.25">
      <c r="A294" t="s">
        <v>429</v>
      </c>
      <c r="B294" s="615">
        <v>2</v>
      </c>
      <c r="C294" t="s">
        <v>507</v>
      </c>
      <c r="D294" t="s">
        <v>1892</v>
      </c>
      <c r="E294" s="615">
        <f ca="1">VLOOKUP(A294,Data!C:I,7,FALSE)</f>
        <v>0</v>
      </c>
      <c r="F294" s="709" t="str">
        <f t="shared" si="32"/>
        <v>ID.BE-32</v>
      </c>
      <c r="G294" s="709" t="str">
        <f t="shared" ca="1" si="33"/>
        <v>ID.BE-320</v>
      </c>
    </row>
    <row r="295" spans="1:7" x14ac:dyDescent="0.25">
      <c r="A295" t="s">
        <v>429</v>
      </c>
      <c r="B295" s="615">
        <v>2</v>
      </c>
      <c r="C295" t="s">
        <v>507</v>
      </c>
      <c r="D295" t="s">
        <v>1890</v>
      </c>
      <c r="E295" s="615">
        <f ca="1">VLOOKUP(A295,Data!C:I,7,FALSE)</f>
        <v>0</v>
      </c>
      <c r="F295" s="709" t="str">
        <f t="shared" si="32"/>
        <v>ID.GV-12</v>
      </c>
      <c r="G295" s="709" t="str">
        <f t="shared" ca="1" si="33"/>
        <v>ID.GV-120</v>
      </c>
    </row>
    <row r="296" spans="1:7" x14ac:dyDescent="0.25">
      <c r="A296" t="s">
        <v>431</v>
      </c>
      <c r="B296" s="615">
        <v>2</v>
      </c>
      <c r="C296" t="s">
        <v>1829</v>
      </c>
      <c r="D296" t="s">
        <v>1893</v>
      </c>
      <c r="E296" s="615">
        <f ca="1">VLOOKUP(A296,Data!C:I,7,FALSE)</f>
        <v>0</v>
      </c>
      <c r="F296" s="709" t="str">
        <f t="shared" si="32"/>
        <v>PR.AT-42</v>
      </c>
      <c r="G296" s="709" t="str">
        <f t="shared" ca="1" si="33"/>
        <v>PR.AT-420</v>
      </c>
    </row>
    <row r="297" spans="1:7" x14ac:dyDescent="0.25">
      <c r="A297" t="s">
        <v>432</v>
      </c>
      <c r="B297" s="615">
        <v>2</v>
      </c>
      <c r="C297" t="s">
        <v>507</v>
      </c>
      <c r="D297" t="s">
        <v>1892</v>
      </c>
      <c r="E297" s="615">
        <f ca="1">VLOOKUP(A297,Data!C:I,7,FALSE)</f>
        <v>0</v>
      </c>
      <c r="F297" s="709" t="str">
        <f t="shared" si="32"/>
        <v>ID.BE-32</v>
      </c>
      <c r="G297" s="709" t="str">
        <f t="shared" ca="1" si="33"/>
        <v>ID.BE-320</v>
      </c>
    </row>
    <row r="298" spans="1:7" x14ac:dyDescent="0.25">
      <c r="A298" t="s">
        <v>433</v>
      </c>
      <c r="B298" s="615">
        <v>2</v>
      </c>
      <c r="C298" t="s">
        <v>507</v>
      </c>
      <c r="D298" t="s">
        <v>1894</v>
      </c>
      <c r="E298" s="615">
        <f ca="1">VLOOKUP(A298,Data!C:I,7,FALSE)</f>
        <v>0</v>
      </c>
      <c r="F298" s="709" t="str">
        <f t="shared" si="32"/>
        <v>ID.GV-42</v>
      </c>
      <c r="G298" s="709" t="str">
        <f t="shared" ca="1" si="33"/>
        <v>ID.GV-420</v>
      </c>
    </row>
    <row r="299" spans="1:7" x14ac:dyDescent="0.25">
      <c r="A299" t="s">
        <v>433</v>
      </c>
      <c r="B299" s="615">
        <v>2</v>
      </c>
      <c r="C299" t="s">
        <v>507</v>
      </c>
      <c r="D299" t="s">
        <v>1895</v>
      </c>
      <c r="E299" s="615">
        <f ca="1">VLOOKUP(A299,Data!C:I,7,FALSE)</f>
        <v>0</v>
      </c>
      <c r="F299" s="709" t="str">
        <f t="shared" si="32"/>
        <v>ID.RM-12</v>
      </c>
      <c r="G299" s="709" t="str">
        <f t="shared" ca="1" si="33"/>
        <v>ID.RM-120</v>
      </c>
    </row>
    <row r="300" spans="1:7" x14ac:dyDescent="0.25">
      <c r="A300" t="s">
        <v>434</v>
      </c>
      <c r="B300" s="615">
        <v>2</v>
      </c>
      <c r="C300" t="s">
        <v>507</v>
      </c>
      <c r="D300" t="s">
        <v>1894</v>
      </c>
      <c r="E300" s="615">
        <f ca="1">VLOOKUP(A300,Data!C:I,7,FALSE)</f>
        <v>0</v>
      </c>
      <c r="F300" s="709" t="str">
        <f t="shared" si="32"/>
        <v>ID.GV-42</v>
      </c>
      <c r="G300" s="709" t="str">
        <f t="shared" ca="1" si="33"/>
        <v>ID.GV-420</v>
      </c>
    </row>
    <row r="301" spans="1:7" x14ac:dyDescent="0.25">
      <c r="A301" t="s">
        <v>434</v>
      </c>
      <c r="B301" s="615">
        <v>2</v>
      </c>
      <c r="C301" t="s">
        <v>507</v>
      </c>
      <c r="D301" t="s">
        <v>1895</v>
      </c>
      <c r="E301" s="615">
        <f ca="1">VLOOKUP(A301,Data!C:I,7,FALSE)</f>
        <v>0</v>
      </c>
      <c r="F301" s="709" t="str">
        <f t="shared" si="32"/>
        <v>ID.RM-12</v>
      </c>
      <c r="G301" s="709" t="str">
        <f t="shared" ca="1" si="33"/>
        <v>ID.RM-120</v>
      </c>
    </row>
    <row r="302" spans="1:7" x14ac:dyDescent="0.25">
      <c r="A302" t="s">
        <v>434</v>
      </c>
      <c r="B302" s="615">
        <v>2</v>
      </c>
      <c r="C302" t="s">
        <v>1829</v>
      </c>
      <c r="D302" t="s">
        <v>1893</v>
      </c>
      <c r="E302" s="615">
        <f ca="1">VLOOKUP(A302,Data!C:I,7,FALSE)</f>
        <v>0</v>
      </c>
      <c r="F302" s="709" t="str">
        <f t="shared" si="32"/>
        <v>PR.AT-42</v>
      </c>
      <c r="G302" s="709" t="str">
        <f t="shared" ca="1" si="33"/>
        <v>PR.AT-420</v>
      </c>
    </row>
    <row r="303" spans="1:7" x14ac:dyDescent="0.25">
      <c r="A303" t="s">
        <v>435</v>
      </c>
      <c r="B303" s="615">
        <v>2</v>
      </c>
      <c r="C303" t="s">
        <v>507</v>
      </c>
      <c r="D303" t="s">
        <v>1894</v>
      </c>
      <c r="E303" s="615">
        <f ca="1">VLOOKUP(A303,Data!C:I,7,FALSE)</f>
        <v>0</v>
      </c>
      <c r="F303" s="709" t="str">
        <f t="shared" si="32"/>
        <v>ID.GV-42</v>
      </c>
      <c r="G303" s="709" t="str">
        <f t="shared" ca="1" si="33"/>
        <v>ID.GV-420</v>
      </c>
    </row>
    <row r="304" spans="1:7" x14ac:dyDescent="0.25">
      <c r="A304" t="s">
        <v>435</v>
      </c>
      <c r="B304" s="615">
        <v>2</v>
      </c>
      <c r="C304" t="s">
        <v>507</v>
      </c>
      <c r="D304" t="s">
        <v>1895</v>
      </c>
      <c r="E304" s="615">
        <f ca="1">VLOOKUP(A304,Data!C:I,7,FALSE)</f>
        <v>0</v>
      </c>
      <c r="F304" s="709" t="str">
        <f t="shared" si="32"/>
        <v>ID.RM-12</v>
      </c>
      <c r="G304" s="709" t="str">
        <f t="shared" ca="1" si="33"/>
        <v>ID.RM-120</v>
      </c>
    </row>
    <row r="305" spans="1:7" x14ac:dyDescent="0.25">
      <c r="A305" t="s">
        <v>436</v>
      </c>
      <c r="B305" s="615">
        <v>3</v>
      </c>
      <c r="C305" t="s">
        <v>507</v>
      </c>
      <c r="D305" t="s">
        <v>1894</v>
      </c>
      <c r="E305" s="615">
        <f ca="1">VLOOKUP(A305,Data!C:I,7,FALSE)</f>
        <v>0</v>
      </c>
      <c r="F305" s="709" t="str">
        <f t="shared" si="32"/>
        <v>ID.GV-43</v>
      </c>
      <c r="G305" s="709" t="str">
        <f t="shared" ca="1" si="33"/>
        <v>ID.GV-430</v>
      </c>
    </row>
    <row r="306" spans="1:7" x14ac:dyDescent="0.25">
      <c r="A306" t="s">
        <v>436</v>
      </c>
      <c r="B306" s="615">
        <v>3</v>
      </c>
      <c r="C306" t="s">
        <v>507</v>
      </c>
      <c r="D306" t="s">
        <v>1895</v>
      </c>
      <c r="E306" s="615">
        <f ca="1">VLOOKUP(A306,Data!C:I,7,FALSE)</f>
        <v>0</v>
      </c>
      <c r="F306" s="709" t="str">
        <f t="shared" si="32"/>
        <v>ID.RM-13</v>
      </c>
      <c r="G306" s="709" t="str">
        <f t="shared" ca="1" si="33"/>
        <v>ID.RM-130</v>
      </c>
    </row>
    <row r="307" spans="1:7" x14ac:dyDescent="0.25">
      <c r="A307" t="s">
        <v>437</v>
      </c>
      <c r="B307" s="615">
        <v>3</v>
      </c>
      <c r="C307" t="s">
        <v>507</v>
      </c>
      <c r="D307" t="s">
        <v>1894</v>
      </c>
      <c r="E307" s="615">
        <f ca="1">VLOOKUP(A307,Data!C:I,7,FALSE)</f>
        <v>0</v>
      </c>
      <c r="F307" s="709" t="str">
        <f t="shared" si="32"/>
        <v>ID.GV-43</v>
      </c>
      <c r="G307" s="709" t="str">
        <f t="shared" ca="1" si="33"/>
        <v>ID.GV-430</v>
      </c>
    </row>
    <row r="308" spans="1:7" x14ac:dyDescent="0.25">
      <c r="A308" t="s">
        <v>437</v>
      </c>
      <c r="B308" s="615">
        <v>3</v>
      </c>
      <c r="C308" t="s">
        <v>507</v>
      </c>
      <c r="D308" t="s">
        <v>1895</v>
      </c>
      <c r="E308" s="615">
        <f ca="1">VLOOKUP(A308,Data!C:I,7,FALSE)</f>
        <v>0</v>
      </c>
      <c r="F308" s="709" t="str">
        <f t="shared" si="32"/>
        <v>ID.RM-13</v>
      </c>
      <c r="G308" s="709" t="str">
        <f t="shared" ca="1" si="33"/>
        <v>ID.RM-130</v>
      </c>
    </row>
    <row r="309" spans="1:7" x14ac:dyDescent="0.25">
      <c r="A309" t="s">
        <v>438</v>
      </c>
      <c r="B309" s="615">
        <v>1</v>
      </c>
      <c r="C309" t="s">
        <v>507</v>
      </c>
      <c r="D309" t="s">
        <v>1896</v>
      </c>
      <c r="E309" s="615">
        <f ca="1">VLOOKUP(A309,Data!C:I,7,FALSE)</f>
        <v>0</v>
      </c>
      <c r="F309" s="709" t="str">
        <f t="shared" si="32"/>
        <v>ID.BE-51</v>
      </c>
      <c r="G309" s="709" t="str">
        <f t="shared" ca="1" si="33"/>
        <v>ID.BE-510</v>
      </c>
    </row>
    <row r="310" spans="1:7" x14ac:dyDescent="0.25">
      <c r="A310" t="s">
        <v>438</v>
      </c>
      <c r="B310" s="615">
        <v>1</v>
      </c>
      <c r="C310" t="s">
        <v>1829</v>
      </c>
      <c r="D310" t="s">
        <v>1897</v>
      </c>
      <c r="E310" s="615">
        <f ca="1">VLOOKUP(A310,Data!C:I,7,FALSE)</f>
        <v>0</v>
      </c>
      <c r="F310" s="709" t="str">
        <f t="shared" si="32"/>
        <v>PR.IP-91</v>
      </c>
      <c r="G310" s="709" t="str">
        <f t="shared" ca="1" si="33"/>
        <v>PR.IP-910</v>
      </c>
    </row>
    <row r="311" spans="1:7" x14ac:dyDescent="0.25">
      <c r="A311" t="s">
        <v>438</v>
      </c>
      <c r="B311" s="615">
        <v>1</v>
      </c>
      <c r="C311" t="s">
        <v>1831</v>
      </c>
      <c r="D311" t="s">
        <v>1898</v>
      </c>
      <c r="E311" s="615">
        <f ca="1">VLOOKUP(A311,Data!C:I,7,FALSE)</f>
        <v>0</v>
      </c>
      <c r="F311" s="709" t="str">
        <f t="shared" si="32"/>
        <v>RS.RP-11</v>
      </c>
      <c r="G311" s="709" t="str">
        <f t="shared" ca="1" si="33"/>
        <v>RS.RP-110</v>
      </c>
    </row>
    <row r="312" spans="1:7" x14ac:dyDescent="0.25">
      <c r="A312" t="s">
        <v>439</v>
      </c>
      <c r="B312" s="615">
        <v>1</v>
      </c>
      <c r="C312" t="s">
        <v>507</v>
      </c>
      <c r="D312" t="s">
        <v>1896</v>
      </c>
      <c r="E312" s="615">
        <f ca="1">VLOOKUP(A312,Data!C:I,7,FALSE)</f>
        <v>0</v>
      </c>
      <c r="F312" s="709" t="str">
        <f t="shared" si="32"/>
        <v>ID.BE-51</v>
      </c>
      <c r="G312" s="709" t="str">
        <f t="shared" ca="1" si="33"/>
        <v>ID.BE-510</v>
      </c>
    </row>
    <row r="313" spans="1:7" x14ac:dyDescent="0.25">
      <c r="A313" t="s">
        <v>439</v>
      </c>
      <c r="B313" s="615">
        <v>1</v>
      </c>
      <c r="C313" t="s">
        <v>1829</v>
      </c>
      <c r="D313" t="s">
        <v>1897</v>
      </c>
      <c r="E313" s="615">
        <f ca="1">VLOOKUP(A313,Data!C:I,7,FALSE)</f>
        <v>0</v>
      </c>
      <c r="F313" s="709" t="str">
        <f t="shared" si="32"/>
        <v>PR.IP-91</v>
      </c>
      <c r="G313" s="709" t="str">
        <f t="shared" ca="1" si="33"/>
        <v>PR.IP-910</v>
      </c>
    </row>
    <row r="314" spans="1:7" x14ac:dyDescent="0.25">
      <c r="A314" t="s">
        <v>439</v>
      </c>
      <c r="B314" s="615">
        <v>1</v>
      </c>
      <c r="C314" t="s">
        <v>1831</v>
      </c>
      <c r="D314" t="s">
        <v>1898</v>
      </c>
      <c r="E314" s="615">
        <f ca="1">VLOOKUP(A314,Data!C:I,7,FALSE)</f>
        <v>0</v>
      </c>
      <c r="F314" s="709" t="str">
        <f t="shared" si="32"/>
        <v>RS.RP-11</v>
      </c>
      <c r="G314" s="709" t="str">
        <f t="shared" ca="1" si="33"/>
        <v>RS.RP-110</v>
      </c>
    </row>
    <row r="315" spans="1:7" x14ac:dyDescent="0.25">
      <c r="A315" t="s">
        <v>440</v>
      </c>
      <c r="B315" s="615">
        <v>1</v>
      </c>
      <c r="C315" t="s">
        <v>507</v>
      </c>
      <c r="D315" t="s">
        <v>1896</v>
      </c>
      <c r="E315" s="615">
        <f ca="1">VLOOKUP(A315,Data!C:I,7,FALSE)</f>
        <v>0</v>
      </c>
      <c r="F315" s="709" t="str">
        <f t="shared" si="32"/>
        <v>ID.BE-51</v>
      </c>
      <c r="G315" s="709" t="str">
        <f t="shared" ca="1" si="33"/>
        <v>ID.BE-510</v>
      </c>
    </row>
    <row r="316" spans="1:7" x14ac:dyDescent="0.25">
      <c r="A316" t="s">
        <v>440</v>
      </c>
      <c r="B316" s="615">
        <v>1</v>
      </c>
      <c r="C316" t="s">
        <v>1829</v>
      </c>
      <c r="D316" t="s">
        <v>1897</v>
      </c>
      <c r="E316" s="615">
        <f ca="1">VLOOKUP(A316,Data!C:I,7,FALSE)</f>
        <v>0</v>
      </c>
      <c r="F316" s="709" t="str">
        <f t="shared" si="32"/>
        <v>PR.IP-91</v>
      </c>
      <c r="G316" s="709" t="str">
        <f t="shared" ca="1" si="33"/>
        <v>PR.IP-910</v>
      </c>
    </row>
    <row r="317" spans="1:7" x14ac:dyDescent="0.25">
      <c r="A317" t="s">
        <v>440</v>
      </c>
      <c r="B317" s="615">
        <v>1</v>
      </c>
      <c r="C317" t="s">
        <v>1831</v>
      </c>
      <c r="D317" t="s">
        <v>1899</v>
      </c>
      <c r="E317" s="615">
        <f ca="1">VLOOKUP(A317,Data!C:I,7,FALSE)</f>
        <v>0</v>
      </c>
      <c r="F317" s="709" t="str">
        <f t="shared" si="32"/>
        <v>RS.CO-11</v>
      </c>
      <c r="G317" s="709" t="str">
        <f t="shared" ca="1" si="33"/>
        <v>RS.CO-110</v>
      </c>
    </row>
    <row r="318" spans="1:7" x14ac:dyDescent="0.25">
      <c r="A318" t="s">
        <v>440</v>
      </c>
      <c r="B318" s="615">
        <v>1</v>
      </c>
      <c r="C318" t="s">
        <v>1831</v>
      </c>
      <c r="D318" t="s">
        <v>1898</v>
      </c>
      <c r="E318" s="615">
        <f ca="1">VLOOKUP(A318,Data!C:I,7,FALSE)</f>
        <v>0</v>
      </c>
      <c r="F318" s="709" t="str">
        <f t="shared" si="32"/>
        <v>RS.RP-11</v>
      </c>
      <c r="G318" s="709" t="str">
        <f t="shared" ca="1" si="33"/>
        <v>RS.RP-110</v>
      </c>
    </row>
    <row r="319" spans="1:7" x14ac:dyDescent="0.25">
      <c r="A319" t="s">
        <v>441</v>
      </c>
      <c r="B319" s="615">
        <v>1</v>
      </c>
      <c r="C319" t="s">
        <v>507</v>
      </c>
      <c r="D319" t="s">
        <v>1896</v>
      </c>
      <c r="E319" s="615">
        <f ca="1">VLOOKUP(A319,Data!C:I,7,FALSE)</f>
        <v>0</v>
      </c>
      <c r="F319" s="709" t="str">
        <f t="shared" si="32"/>
        <v>ID.BE-51</v>
      </c>
      <c r="G319" s="709" t="str">
        <f t="shared" ca="1" si="33"/>
        <v>ID.BE-510</v>
      </c>
    </row>
    <row r="320" spans="1:7" x14ac:dyDescent="0.25">
      <c r="A320" t="s">
        <v>441</v>
      </c>
      <c r="B320" s="615">
        <v>1</v>
      </c>
      <c r="C320" t="s">
        <v>507</v>
      </c>
      <c r="D320" t="s">
        <v>1900</v>
      </c>
      <c r="E320" s="615">
        <f ca="1">VLOOKUP(A320,Data!C:I,7,FALSE)</f>
        <v>0</v>
      </c>
      <c r="F320" s="709" t="str">
        <f t="shared" si="32"/>
        <v>ID.SC-51</v>
      </c>
      <c r="G320" s="709" t="str">
        <f t="shared" ca="1" si="33"/>
        <v>ID.SC-510</v>
      </c>
    </row>
    <row r="321" spans="1:7" x14ac:dyDescent="0.25">
      <c r="A321" t="s">
        <v>441</v>
      </c>
      <c r="B321" s="615">
        <v>1</v>
      </c>
      <c r="C321" t="s">
        <v>1829</v>
      </c>
      <c r="D321" t="s">
        <v>1897</v>
      </c>
      <c r="E321" s="615">
        <f ca="1">VLOOKUP(A321,Data!C:I,7,FALSE)</f>
        <v>0</v>
      </c>
      <c r="F321" s="709" t="str">
        <f t="shared" si="32"/>
        <v>PR.IP-91</v>
      </c>
      <c r="G321" s="709" t="str">
        <f t="shared" ca="1" si="33"/>
        <v>PR.IP-910</v>
      </c>
    </row>
    <row r="322" spans="1:7" x14ac:dyDescent="0.25">
      <c r="A322" t="s">
        <v>441</v>
      </c>
      <c r="B322" s="615">
        <v>1</v>
      </c>
      <c r="C322" t="s">
        <v>1831</v>
      </c>
      <c r="D322" t="s">
        <v>1901</v>
      </c>
      <c r="E322" s="615">
        <f ca="1">VLOOKUP(A322,Data!C:I,7,FALSE)</f>
        <v>0</v>
      </c>
      <c r="F322" s="709" t="str">
        <f t="shared" si="32"/>
        <v>RS.CO-41</v>
      </c>
      <c r="G322" s="709" t="str">
        <f t="shared" ca="1" si="33"/>
        <v>RS.CO-410</v>
      </c>
    </row>
    <row r="323" spans="1:7" x14ac:dyDescent="0.25">
      <c r="A323" t="s">
        <v>441</v>
      </c>
      <c r="B323" s="615">
        <v>1</v>
      </c>
      <c r="C323" t="s">
        <v>1831</v>
      </c>
      <c r="D323" t="s">
        <v>1898</v>
      </c>
      <c r="E323" s="615">
        <f ca="1">VLOOKUP(A323,Data!C:I,7,FALSE)</f>
        <v>0</v>
      </c>
      <c r="F323" s="709" t="str">
        <f t="shared" ref="F323:F386" si="34">CONCATENATE($D323,$B323)</f>
        <v>RS.RP-11</v>
      </c>
      <c r="G323" s="709" t="str">
        <f t="shared" ref="G323:G386" ca="1" si="35">_xlfn.IFNA(CONCATENATE(F323,$E323),CONCATENATE(F323,$E323,0))</f>
        <v>RS.RP-110</v>
      </c>
    </row>
    <row r="324" spans="1:7" x14ac:dyDescent="0.25">
      <c r="A324" t="s">
        <v>442</v>
      </c>
      <c r="B324" s="615">
        <v>2</v>
      </c>
      <c r="C324" t="s">
        <v>507</v>
      </c>
      <c r="D324" t="s">
        <v>1896</v>
      </c>
      <c r="E324" s="615">
        <f ca="1">VLOOKUP(A324,Data!C:I,7,FALSE)</f>
        <v>0</v>
      </c>
      <c r="F324" s="709" t="str">
        <f t="shared" si="34"/>
        <v>ID.BE-52</v>
      </c>
      <c r="G324" s="709" t="str">
        <f t="shared" ca="1" si="35"/>
        <v>ID.BE-520</v>
      </c>
    </row>
    <row r="325" spans="1:7" x14ac:dyDescent="0.25">
      <c r="A325" t="s">
        <v>442</v>
      </c>
      <c r="B325" s="615">
        <v>2</v>
      </c>
      <c r="C325" t="s">
        <v>1829</v>
      </c>
      <c r="D325" t="s">
        <v>1897</v>
      </c>
      <c r="E325" s="615">
        <f ca="1">VLOOKUP(A325,Data!C:I,7,FALSE)</f>
        <v>0</v>
      </c>
      <c r="F325" s="709" t="str">
        <f t="shared" si="34"/>
        <v>PR.IP-92</v>
      </c>
      <c r="G325" s="709" t="str">
        <f t="shared" ca="1" si="35"/>
        <v>PR.IP-920</v>
      </c>
    </row>
    <row r="326" spans="1:7" x14ac:dyDescent="0.25">
      <c r="A326" t="s">
        <v>442</v>
      </c>
      <c r="B326" s="615">
        <v>2</v>
      </c>
      <c r="C326" t="s">
        <v>1831</v>
      </c>
      <c r="D326" t="s">
        <v>1898</v>
      </c>
      <c r="E326" s="615">
        <f ca="1">VLOOKUP(A326,Data!C:I,7,FALSE)</f>
        <v>0</v>
      </c>
      <c r="F326" s="709" t="str">
        <f t="shared" si="34"/>
        <v>RS.RP-12</v>
      </c>
      <c r="G326" s="709" t="str">
        <f t="shared" ca="1" si="35"/>
        <v>RS.RP-120</v>
      </c>
    </row>
    <row r="327" spans="1:7" x14ac:dyDescent="0.25">
      <c r="A327" t="s">
        <v>443</v>
      </c>
      <c r="B327" s="615">
        <v>2</v>
      </c>
      <c r="C327" t="s">
        <v>507</v>
      </c>
      <c r="D327" t="s">
        <v>1896</v>
      </c>
      <c r="E327" s="615">
        <f ca="1">VLOOKUP(A327,Data!C:I,7,FALSE)</f>
        <v>0</v>
      </c>
      <c r="F327" s="709" t="str">
        <f t="shared" si="34"/>
        <v>ID.BE-52</v>
      </c>
      <c r="G327" s="709" t="str">
        <f t="shared" ca="1" si="35"/>
        <v>ID.BE-520</v>
      </c>
    </row>
    <row r="328" spans="1:7" x14ac:dyDescent="0.25">
      <c r="A328" t="s">
        <v>443</v>
      </c>
      <c r="B328" s="615">
        <v>2</v>
      </c>
      <c r="C328" t="s">
        <v>1829</v>
      </c>
      <c r="D328" t="s">
        <v>1897</v>
      </c>
      <c r="E328" s="615">
        <f ca="1">VLOOKUP(A328,Data!C:I,7,FALSE)</f>
        <v>0</v>
      </c>
      <c r="F328" s="709" t="str">
        <f t="shared" si="34"/>
        <v>PR.IP-92</v>
      </c>
      <c r="G328" s="709" t="str">
        <f t="shared" ca="1" si="35"/>
        <v>PR.IP-920</v>
      </c>
    </row>
    <row r="329" spans="1:7" x14ac:dyDescent="0.25">
      <c r="A329" t="s">
        <v>443</v>
      </c>
      <c r="B329" s="615">
        <v>2</v>
      </c>
      <c r="C329" t="s">
        <v>1831</v>
      </c>
      <c r="D329" t="s">
        <v>1902</v>
      </c>
      <c r="E329" s="615">
        <f ca="1">VLOOKUP(A329,Data!C:I,7,FALSE)</f>
        <v>0</v>
      </c>
      <c r="F329" s="709" t="str">
        <f t="shared" si="34"/>
        <v>RS.CO-22</v>
      </c>
      <c r="G329" s="709" t="str">
        <f t="shared" ca="1" si="35"/>
        <v>RS.CO-220</v>
      </c>
    </row>
    <row r="330" spans="1:7" x14ac:dyDescent="0.25">
      <c r="A330" t="s">
        <v>443</v>
      </c>
      <c r="B330" s="615">
        <v>2</v>
      </c>
      <c r="C330" t="s">
        <v>1831</v>
      </c>
      <c r="D330" t="s">
        <v>1903</v>
      </c>
      <c r="E330" s="615">
        <f ca="1">VLOOKUP(A330,Data!C:I,7,FALSE)</f>
        <v>0</v>
      </c>
      <c r="F330" s="709" t="str">
        <f t="shared" si="34"/>
        <v>RS.CO-32</v>
      </c>
      <c r="G330" s="709" t="str">
        <f t="shared" ca="1" si="35"/>
        <v>RS.CO-320</v>
      </c>
    </row>
    <row r="331" spans="1:7" x14ac:dyDescent="0.25">
      <c r="A331" t="s">
        <v>443</v>
      </c>
      <c r="B331" s="615">
        <v>2</v>
      </c>
      <c r="C331" t="s">
        <v>1831</v>
      </c>
      <c r="D331" t="s">
        <v>1901</v>
      </c>
      <c r="E331" s="615">
        <f ca="1">VLOOKUP(A331,Data!C:I,7,FALSE)</f>
        <v>0</v>
      </c>
      <c r="F331" s="709" t="str">
        <f t="shared" si="34"/>
        <v>RS.CO-42</v>
      </c>
      <c r="G331" s="709" t="str">
        <f t="shared" ca="1" si="35"/>
        <v>RS.CO-420</v>
      </c>
    </row>
    <row r="332" spans="1:7" x14ac:dyDescent="0.25">
      <c r="A332" t="s">
        <v>443</v>
      </c>
      <c r="B332" s="615">
        <v>2</v>
      </c>
      <c r="C332" t="s">
        <v>1831</v>
      </c>
      <c r="D332" t="s">
        <v>1898</v>
      </c>
      <c r="E332" s="615">
        <f ca="1">VLOOKUP(A332,Data!C:I,7,FALSE)</f>
        <v>0</v>
      </c>
      <c r="F332" s="709" t="str">
        <f t="shared" si="34"/>
        <v>RS.RP-12</v>
      </c>
      <c r="G332" s="709" t="str">
        <f t="shared" ca="1" si="35"/>
        <v>RS.RP-120</v>
      </c>
    </row>
    <row r="333" spans="1:7" x14ac:dyDescent="0.25">
      <c r="A333" t="s">
        <v>444</v>
      </c>
      <c r="B333" s="615">
        <v>3</v>
      </c>
      <c r="C333" t="s">
        <v>507</v>
      </c>
      <c r="D333" t="s">
        <v>1896</v>
      </c>
      <c r="E333" s="615">
        <f ca="1">VLOOKUP(A333,Data!C:I,7,FALSE)</f>
        <v>0</v>
      </c>
      <c r="F333" s="709" t="str">
        <f t="shared" si="34"/>
        <v>ID.BE-53</v>
      </c>
      <c r="G333" s="709" t="str">
        <f t="shared" ca="1" si="35"/>
        <v>ID.BE-530</v>
      </c>
    </row>
    <row r="334" spans="1:7" x14ac:dyDescent="0.25">
      <c r="A334" t="s">
        <v>444</v>
      </c>
      <c r="B334" s="615">
        <v>3</v>
      </c>
      <c r="C334" t="s">
        <v>507</v>
      </c>
      <c r="D334" t="s">
        <v>1900</v>
      </c>
      <c r="E334" s="615">
        <f ca="1">VLOOKUP(A334,Data!C:I,7,FALSE)</f>
        <v>0</v>
      </c>
      <c r="F334" s="709" t="str">
        <f t="shared" si="34"/>
        <v>ID.SC-53</v>
      </c>
      <c r="G334" s="709" t="str">
        <f t="shared" ca="1" si="35"/>
        <v>ID.SC-530</v>
      </c>
    </row>
    <row r="335" spans="1:7" x14ac:dyDescent="0.25">
      <c r="A335" t="s">
        <v>444</v>
      </c>
      <c r="B335" s="615">
        <v>3</v>
      </c>
      <c r="C335" t="s">
        <v>1829</v>
      </c>
      <c r="D335" t="s">
        <v>1897</v>
      </c>
      <c r="E335" s="615">
        <f ca="1">VLOOKUP(A335,Data!C:I,7,FALSE)</f>
        <v>0</v>
      </c>
      <c r="F335" s="709" t="str">
        <f t="shared" si="34"/>
        <v>PR.IP-93</v>
      </c>
      <c r="G335" s="709" t="str">
        <f t="shared" ca="1" si="35"/>
        <v>PR.IP-930</v>
      </c>
    </row>
    <row r="336" spans="1:7" x14ac:dyDescent="0.25">
      <c r="A336" t="s">
        <v>444</v>
      </c>
      <c r="B336" s="615">
        <v>3</v>
      </c>
      <c r="C336" t="s">
        <v>1831</v>
      </c>
      <c r="D336" t="s">
        <v>1898</v>
      </c>
      <c r="E336" s="615">
        <f ca="1">VLOOKUP(A336,Data!C:I,7,FALSE)</f>
        <v>0</v>
      </c>
      <c r="F336" s="709" t="str">
        <f t="shared" si="34"/>
        <v>RS.RP-13</v>
      </c>
      <c r="G336" s="709" t="str">
        <f t="shared" ca="1" si="35"/>
        <v>RS.RP-130</v>
      </c>
    </row>
    <row r="337" spans="1:7" x14ac:dyDescent="0.25">
      <c r="A337" t="s">
        <v>445</v>
      </c>
      <c r="B337" s="615">
        <v>3</v>
      </c>
      <c r="C337" t="s">
        <v>507</v>
      </c>
      <c r="D337" t="s">
        <v>1896</v>
      </c>
      <c r="E337" s="615">
        <f ca="1">VLOOKUP(A337,Data!C:I,7,FALSE)</f>
        <v>0</v>
      </c>
      <c r="F337" s="709" t="str">
        <f t="shared" si="34"/>
        <v>ID.BE-53</v>
      </c>
      <c r="G337" s="709" t="str">
        <f t="shared" ca="1" si="35"/>
        <v>ID.BE-530</v>
      </c>
    </row>
    <row r="338" spans="1:7" x14ac:dyDescent="0.25">
      <c r="A338" t="s">
        <v>445</v>
      </c>
      <c r="B338" s="615">
        <v>3</v>
      </c>
      <c r="C338" t="s">
        <v>507</v>
      </c>
      <c r="D338" t="s">
        <v>1900</v>
      </c>
      <c r="E338" s="615">
        <f ca="1">VLOOKUP(A338,Data!C:I,7,FALSE)</f>
        <v>0</v>
      </c>
      <c r="F338" s="709" t="str">
        <f t="shared" si="34"/>
        <v>ID.SC-53</v>
      </c>
      <c r="G338" s="709" t="str">
        <f t="shared" ca="1" si="35"/>
        <v>ID.SC-530</v>
      </c>
    </row>
    <row r="339" spans="1:7" x14ac:dyDescent="0.25">
      <c r="A339" t="s">
        <v>445</v>
      </c>
      <c r="B339" s="615">
        <v>3</v>
      </c>
      <c r="C339" t="s">
        <v>1829</v>
      </c>
      <c r="D339" t="s">
        <v>1897</v>
      </c>
      <c r="E339" s="615">
        <f ca="1">VLOOKUP(A339,Data!C:I,7,FALSE)</f>
        <v>0</v>
      </c>
      <c r="F339" s="709" t="str">
        <f t="shared" si="34"/>
        <v>PR.IP-93</v>
      </c>
      <c r="G339" s="709" t="str">
        <f t="shared" ca="1" si="35"/>
        <v>PR.IP-930</v>
      </c>
    </row>
    <row r="340" spans="1:7" x14ac:dyDescent="0.25">
      <c r="A340" t="s">
        <v>445</v>
      </c>
      <c r="B340" s="615">
        <v>3</v>
      </c>
      <c r="C340" t="s">
        <v>1831</v>
      </c>
      <c r="D340" t="s">
        <v>1901</v>
      </c>
      <c r="E340" s="615">
        <f ca="1">VLOOKUP(A340,Data!C:I,7,FALSE)</f>
        <v>0</v>
      </c>
      <c r="F340" s="709" t="str">
        <f t="shared" si="34"/>
        <v>RS.CO-43</v>
      </c>
      <c r="G340" s="709" t="str">
        <f t="shared" ca="1" si="35"/>
        <v>RS.CO-430</v>
      </c>
    </row>
    <row r="341" spans="1:7" x14ac:dyDescent="0.25">
      <c r="A341" t="s">
        <v>445</v>
      </c>
      <c r="B341" s="615">
        <v>3</v>
      </c>
      <c r="C341" t="s">
        <v>1831</v>
      </c>
      <c r="D341" t="s">
        <v>1898</v>
      </c>
      <c r="E341" s="615">
        <f ca="1">VLOOKUP(A341,Data!C:I,7,FALSE)</f>
        <v>0</v>
      </c>
      <c r="F341" s="709" t="str">
        <f t="shared" si="34"/>
        <v>RS.RP-13</v>
      </c>
      <c r="G341" s="709" t="str">
        <f t="shared" ca="1" si="35"/>
        <v>RS.RP-130</v>
      </c>
    </row>
    <row r="342" spans="1:7" x14ac:dyDescent="0.25">
      <c r="A342" t="s">
        <v>381</v>
      </c>
      <c r="B342" s="615">
        <v>2</v>
      </c>
      <c r="C342" t="s">
        <v>507</v>
      </c>
      <c r="D342" t="s">
        <v>1887</v>
      </c>
      <c r="E342" s="615">
        <f ca="1">VLOOKUP(A342,Data!C:I,7,FALSE)</f>
        <v>0</v>
      </c>
      <c r="F342" s="709" t="str">
        <f t="shared" si="34"/>
        <v>ID.BE-22</v>
      </c>
      <c r="G342" s="709" t="str">
        <f t="shared" ca="1" si="35"/>
        <v>ID.BE-220</v>
      </c>
    </row>
    <row r="343" spans="1:7" x14ac:dyDescent="0.25">
      <c r="A343" t="s">
        <v>385</v>
      </c>
      <c r="B343" s="615">
        <v>2</v>
      </c>
      <c r="C343" t="s">
        <v>507</v>
      </c>
      <c r="D343" t="s">
        <v>1904</v>
      </c>
      <c r="E343" s="615">
        <f ca="1">VLOOKUP(A343,Data!C:I,7,FALSE)</f>
        <v>0</v>
      </c>
      <c r="F343" s="709" t="str">
        <f t="shared" si="34"/>
        <v>ID.GV-32</v>
      </c>
      <c r="G343" s="709" t="str">
        <f t="shared" ca="1" si="35"/>
        <v>ID.GV-320</v>
      </c>
    </row>
    <row r="344" spans="1:7" x14ac:dyDescent="0.25">
      <c r="A344" t="s">
        <v>392</v>
      </c>
      <c r="B344" s="615">
        <v>2</v>
      </c>
      <c r="C344" t="s">
        <v>507</v>
      </c>
      <c r="D344" t="s">
        <v>1890</v>
      </c>
      <c r="E344" s="615">
        <f ca="1">VLOOKUP(A344,Data!C:I,7,FALSE)</f>
        <v>0</v>
      </c>
      <c r="F344" s="709" t="str">
        <f t="shared" si="34"/>
        <v>ID.GV-12</v>
      </c>
      <c r="G344" s="709" t="str">
        <f t="shared" ca="1" si="35"/>
        <v>ID.GV-120</v>
      </c>
    </row>
    <row r="345" spans="1:7" x14ac:dyDescent="0.25">
      <c r="A345" t="s">
        <v>394</v>
      </c>
      <c r="B345" s="615">
        <v>2</v>
      </c>
      <c r="C345" t="s">
        <v>507</v>
      </c>
      <c r="D345" t="s">
        <v>1857</v>
      </c>
      <c r="E345" s="615">
        <f ca="1">VLOOKUP(A345,Data!C:I,7,FALSE)</f>
        <v>0</v>
      </c>
      <c r="F345" s="709" t="str">
        <f t="shared" si="34"/>
        <v>ID.AM-62</v>
      </c>
      <c r="G345" s="709" t="str">
        <f t="shared" ca="1" si="35"/>
        <v>ID.AM-620</v>
      </c>
    </row>
    <row r="346" spans="1:7" x14ac:dyDescent="0.25">
      <c r="A346" t="s">
        <v>397</v>
      </c>
      <c r="B346" s="615">
        <v>3</v>
      </c>
      <c r="C346" t="s">
        <v>507</v>
      </c>
      <c r="D346" t="s">
        <v>1904</v>
      </c>
      <c r="E346" s="615">
        <f ca="1">VLOOKUP(A346,Data!C:I,7,FALSE)</f>
        <v>0</v>
      </c>
      <c r="F346" s="709" t="str">
        <f t="shared" si="34"/>
        <v>ID.GV-33</v>
      </c>
      <c r="G346" s="709" t="str">
        <f t="shared" ca="1" si="35"/>
        <v>ID.GV-330</v>
      </c>
    </row>
    <row r="347" spans="1:7" x14ac:dyDescent="0.25">
      <c r="A347" t="s">
        <v>401</v>
      </c>
      <c r="B347" s="615">
        <v>3</v>
      </c>
      <c r="C347" t="s">
        <v>507</v>
      </c>
      <c r="D347" t="s">
        <v>1904</v>
      </c>
      <c r="E347" s="615">
        <f ca="1">VLOOKUP(A347,Data!C:I,7,FALSE)</f>
        <v>0</v>
      </c>
      <c r="F347" s="709" t="str">
        <f t="shared" si="34"/>
        <v>ID.GV-33</v>
      </c>
      <c r="G347" s="709" t="str">
        <f t="shared" ca="1" si="35"/>
        <v>ID.GV-330</v>
      </c>
    </row>
    <row r="348" spans="1:7" x14ac:dyDescent="0.25">
      <c r="A348" t="s">
        <v>403</v>
      </c>
      <c r="B348" s="615">
        <v>3</v>
      </c>
      <c r="C348" t="s">
        <v>507</v>
      </c>
      <c r="D348" t="s">
        <v>1857</v>
      </c>
      <c r="E348" s="615">
        <f ca="1">VLOOKUP(A348,Data!C:I,7,FALSE)</f>
        <v>0</v>
      </c>
      <c r="F348" s="709" t="str">
        <f t="shared" si="34"/>
        <v>ID.AM-63</v>
      </c>
      <c r="G348" s="709" t="str">
        <f t="shared" ca="1" si="35"/>
        <v>ID.AM-630</v>
      </c>
    </row>
    <row r="349" spans="1:7" x14ac:dyDescent="0.25">
      <c r="A349" t="s">
        <v>403</v>
      </c>
      <c r="B349" s="615">
        <v>3</v>
      </c>
      <c r="C349" t="s">
        <v>507</v>
      </c>
      <c r="D349" t="s">
        <v>1858</v>
      </c>
      <c r="E349" s="615">
        <f ca="1">VLOOKUP(A349,Data!C:I,7,FALSE)</f>
        <v>0</v>
      </c>
      <c r="F349" s="709" t="str">
        <f t="shared" si="34"/>
        <v>ID.GV-23</v>
      </c>
      <c r="G349" s="709" t="str">
        <f t="shared" ca="1" si="35"/>
        <v>ID.GV-230</v>
      </c>
    </row>
    <row r="350" spans="1:7" x14ac:dyDescent="0.25">
      <c r="A350" t="s">
        <v>404</v>
      </c>
      <c r="B350" s="615">
        <v>3</v>
      </c>
      <c r="C350" t="s">
        <v>1829</v>
      </c>
      <c r="D350" t="s">
        <v>1859</v>
      </c>
      <c r="E350" s="615">
        <f ca="1">VLOOKUP(A350,Data!C:I,7,FALSE)</f>
        <v>0</v>
      </c>
      <c r="F350" s="709" t="str">
        <f t="shared" si="34"/>
        <v>PR.IP-83</v>
      </c>
      <c r="G350" s="709" t="str">
        <f t="shared" ca="1" si="35"/>
        <v>PR.IP-830</v>
      </c>
    </row>
    <row r="351" spans="1:7" x14ac:dyDescent="0.25">
      <c r="A351" t="s">
        <v>253</v>
      </c>
      <c r="B351" s="615">
        <v>1</v>
      </c>
      <c r="C351" t="s">
        <v>1830</v>
      </c>
      <c r="D351" t="s">
        <v>1905</v>
      </c>
      <c r="E351" s="615">
        <f ca="1">VLOOKUP(A351,Data!C:I,7,FALSE)</f>
        <v>0</v>
      </c>
      <c r="F351" s="709" t="str">
        <f t="shared" si="34"/>
        <v>DE.AE-31</v>
      </c>
      <c r="G351" s="709" t="str">
        <f t="shared" ca="1" si="35"/>
        <v>DE.AE-310</v>
      </c>
    </row>
    <row r="352" spans="1:7" x14ac:dyDescent="0.25">
      <c r="A352" t="s">
        <v>253</v>
      </c>
      <c r="B352" s="615">
        <v>1</v>
      </c>
      <c r="C352" t="s">
        <v>1830</v>
      </c>
      <c r="D352" t="s">
        <v>1906</v>
      </c>
      <c r="E352" s="615">
        <f ca="1">VLOOKUP(A352,Data!C:I,7,FALSE)</f>
        <v>0</v>
      </c>
      <c r="F352" s="709" t="str">
        <f t="shared" si="34"/>
        <v>DE.DP-11</v>
      </c>
      <c r="G352" s="709" t="str">
        <f t="shared" ca="1" si="35"/>
        <v>DE.DP-110</v>
      </c>
    </row>
    <row r="353" spans="1:7" x14ac:dyDescent="0.25">
      <c r="A353" t="s">
        <v>253</v>
      </c>
      <c r="B353" s="615">
        <v>1</v>
      </c>
      <c r="C353" t="s">
        <v>1830</v>
      </c>
      <c r="D353" t="s">
        <v>1907</v>
      </c>
      <c r="E353" s="615">
        <f ca="1">VLOOKUP(A353,Data!C:I,7,FALSE)</f>
        <v>0</v>
      </c>
      <c r="F353" s="709" t="str">
        <f t="shared" si="34"/>
        <v>DE.DP-41</v>
      </c>
      <c r="G353" s="709" t="str">
        <f t="shared" ca="1" si="35"/>
        <v>DE.DP-410</v>
      </c>
    </row>
    <row r="354" spans="1:7" x14ac:dyDescent="0.25">
      <c r="A354" t="s">
        <v>254</v>
      </c>
      <c r="B354" s="615">
        <v>2</v>
      </c>
      <c r="C354" t="s">
        <v>1830</v>
      </c>
      <c r="D354" t="s">
        <v>1908</v>
      </c>
      <c r="E354" s="615">
        <f ca="1">VLOOKUP(A354,Data!C:I,7,FALSE)</f>
        <v>0</v>
      </c>
      <c r="F354" s="709" t="str">
        <f t="shared" si="34"/>
        <v>DE.DP-22</v>
      </c>
      <c r="G354" s="709" t="str">
        <f t="shared" ca="1" si="35"/>
        <v>DE.DP-220</v>
      </c>
    </row>
    <row r="355" spans="1:7" x14ac:dyDescent="0.25">
      <c r="A355" t="s">
        <v>255</v>
      </c>
      <c r="B355" s="615">
        <v>2</v>
      </c>
      <c r="C355" t="s">
        <v>1830</v>
      </c>
      <c r="D355" t="s">
        <v>1905</v>
      </c>
      <c r="E355" s="615">
        <f ca="1">VLOOKUP(A355,Data!C:I,7,FALSE)</f>
        <v>0</v>
      </c>
      <c r="F355" s="709" t="str">
        <f t="shared" si="34"/>
        <v>DE.AE-32</v>
      </c>
      <c r="G355" s="709" t="str">
        <f t="shared" ca="1" si="35"/>
        <v>DE.AE-320</v>
      </c>
    </row>
    <row r="356" spans="1:7" x14ac:dyDescent="0.25">
      <c r="A356" t="s">
        <v>255</v>
      </c>
      <c r="B356" s="615">
        <v>2</v>
      </c>
      <c r="C356" t="s">
        <v>1831</v>
      </c>
      <c r="D356" t="s">
        <v>1909</v>
      </c>
      <c r="E356" s="615">
        <f ca="1">VLOOKUP(A356,Data!C:I,7,FALSE)</f>
        <v>0</v>
      </c>
      <c r="F356" s="709" t="str">
        <f t="shared" si="34"/>
        <v>RS.AN-12</v>
      </c>
      <c r="G356" s="709" t="str">
        <f t="shared" ca="1" si="35"/>
        <v>RS.AN-120</v>
      </c>
    </row>
    <row r="357" spans="1:7" x14ac:dyDescent="0.25">
      <c r="A357" t="s">
        <v>256</v>
      </c>
      <c r="B357" s="615">
        <v>3</v>
      </c>
      <c r="C357" t="s">
        <v>1830</v>
      </c>
      <c r="D357" t="s">
        <v>1910</v>
      </c>
      <c r="E357" s="615">
        <f ca="1">VLOOKUP(A357,Data!C:I,7,FALSE)</f>
        <v>0</v>
      </c>
      <c r="F357" s="709" t="str">
        <f t="shared" si="34"/>
        <v>DE.AE-23</v>
      </c>
      <c r="G357" s="709" t="str">
        <f t="shared" ca="1" si="35"/>
        <v>DE.AE-230</v>
      </c>
    </row>
    <row r="358" spans="1:7" x14ac:dyDescent="0.25">
      <c r="A358" t="s">
        <v>256</v>
      </c>
      <c r="B358" s="615">
        <v>3</v>
      </c>
      <c r="C358" t="s">
        <v>1830</v>
      </c>
      <c r="D358" t="s">
        <v>1905</v>
      </c>
      <c r="E358" s="615">
        <f ca="1">VLOOKUP(A358,Data!C:I,7,FALSE)</f>
        <v>0</v>
      </c>
      <c r="F358" s="709" t="str">
        <f t="shared" si="34"/>
        <v>DE.AE-33</v>
      </c>
      <c r="G358" s="709" t="str">
        <f t="shared" ca="1" si="35"/>
        <v>DE.AE-330</v>
      </c>
    </row>
    <row r="359" spans="1:7" x14ac:dyDescent="0.25">
      <c r="A359" t="s">
        <v>256</v>
      </c>
      <c r="B359" s="615">
        <v>3</v>
      </c>
      <c r="C359" t="s">
        <v>1831</v>
      </c>
      <c r="D359" t="s">
        <v>1909</v>
      </c>
      <c r="E359" s="615">
        <f ca="1">VLOOKUP(A359,Data!C:I,7,FALSE)</f>
        <v>0</v>
      </c>
      <c r="F359" s="709" t="str">
        <f t="shared" si="34"/>
        <v>RS.AN-13</v>
      </c>
      <c r="G359" s="709" t="str">
        <f t="shared" ca="1" si="35"/>
        <v>RS.AN-130</v>
      </c>
    </row>
    <row r="360" spans="1:7" x14ac:dyDescent="0.25">
      <c r="A360" t="s">
        <v>257</v>
      </c>
      <c r="B360" s="615">
        <v>3</v>
      </c>
      <c r="C360" t="s">
        <v>1830</v>
      </c>
      <c r="D360" t="s">
        <v>1908</v>
      </c>
      <c r="E360" s="615">
        <f ca="1">VLOOKUP(A360,Data!C:I,7,FALSE)</f>
        <v>0</v>
      </c>
      <c r="F360" s="709" t="str">
        <f t="shared" si="34"/>
        <v>DE.DP-23</v>
      </c>
      <c r="G360" s="709" t="str">
        <f t="shared" ca="1" si="35"/>
        <v>DE.DP-230</v>
      </c>
    </row>
    <row r="361" spans="1:7" x14ac:dyDescent="0.25">
      <c r="A361" t="s">
        <v>257</v>
      </c>
      <c r="B361" s="615">
        <v>3</v>
      </c>
      <c r="C361" t="s">
        <v>1830</v>
      </c>
      <c r="D361" t="s">
        <v>1911</v>
      </c>
      <c r="E361" s="615">
        <f ca="1">VLOOKUP(A361,Data!C:I,7,FALSE)</f>
        <v>0</v>
      </c>
      <c r="F361" s="709" t="str">
        <f t="shared" si="34"/>
        <v>DE.DP-53</v>
      </c>
      <c r="G361" s="709" t="str">
        <f t="shared" ca="1" si="35"/>
        <v>DE.DP-530</v>
      </c>
    </row>
    <row r="362" spans="1:7" x14ac:dyDescent="0.25">
      <c r="A362" t="s">
        <v>258</v>
      </c>
      <c r="B362" s="615">
        <v>3</v>
      </c>
      <c r="C362" t="s">
        <v>1830</v>
      </c>
      <c r="D362" t="s">
        <v>1905</v>
      </c>
      <c r="E362" s="615">
        <f ca="1">VLOOKUP(A362,Data!C:I,7,FALSE)</f>
        <v>0</v>
      </c>
      <c r="F362" s="709" t="str">
        <f t="shared" si="34"/>
        <v>DE.AE-33</v>
      </c>
      <c r="G362" s="709" t="str">
        <f t="shared" ca="1" si="35"/>
        <v>DE.AE-330</v>
      </c>
    </row>
    <row r="363" spans="1:7" x14ac:dyDescent="0.25">
      <c r="A363" t="s">
        <v>259</v>
      </c>
      <c r="B363" s="615">
        <v>1</v>
      </c>
      <c r="C363" t="s">
        <v>1830</v>
      </c>
      <c r="D363" t="s">
        <v>1912</v>
      </c>
      <c r="E363" s="615">
        <f ca="1">VLOOKUP(A363,Data!C:I,7,FALSE)</f>
        <v>0</v>
      </c>
      <c r="F363" s="709" t="str">
        <f t="shared" si="34"/>
        <v>DE.AE-51</v>
      </c>
      <c r="G363" s="709" t="str">
        <f t="shared" ca="1" si="35"/>
        <v>DE.AE-510</v>
      </c>
    </row>
    <row r="364" spans="1:7" x14ac:dyDescent="0.25">
      <c r="A364" t="s">
        <v>259</v>
      </c>
      <c r="B364" s="615">
        <v>1</v>
      </c>
      <c r="C364" t="s">
        <v>1831</v>
      </c>
      <c r="D364" t="s">
        <v>1913</v>
      </c>
      <c r="E364" s="615">
        <f ca="1">VLOOKUP(A364,Data!C:I,7,FALSE)</f>
        <v>0</v>
      </c>
      <c r="F364" s="709" t="str">
        <f t="shared" si="34"/>
        <v>RS.AN-41</v>
      </c>
      <c r="G364" s="709" t="str">
        <f t="shared" ca="1" si="35"/>
        <v>RS.AN-410</v>
      </c>
    </row>
    <row r="365" spans="1:7" x14ac:dyDescent="0.25">
      <c r="A365" t="s">
        <v>260</v>
      </c>
      <c r="B365" s="615">
        <v>1</v>
      </c>
      <c r="C365" t="s">
        <v>1830</v>
      </c>
      <c r="D365" t="s">
        <v>1910</v>
      </c>
      <c r="E365" s="615">
        <f ca="1">VLOOKUP(A365,Data!C:I,7,FALSE)</f>
        <v>0</v>
      </c>
      <c r="F365" s="709" t="str">
        <f t="shared" si="34"/>
        <v>DE.AE-21</v>
      </c>
      <c r="G365" s="709" t="str">
        <f t="shared" ca="1" si="35"/>
        <v>DE.AE-210</v>
      </c>
    </row>
    <row r="366" spans="1:7" x14ac:dyDescent="0.25">
      <c r="A366" t="s">
        <v>260</v>
      </c>
      <c r="B366" s="615">
        <v>1</v>
      </c>
      <c r="C366" t="s">
        <v>1830</v>
      </c>
      <c r="D366" t="s">
        <v>1914</v>
      </c>
      <c r="E366" s="615">
        <f ca="1">VLOOKUP(A366,Data!C:I,7,FALSE)</f>
        <v>0</v>
      </c>
      <c r="F366" s="709" t="str">
        <f t="shared" si="34"/>
        <v>DE.AE-41</v>
      </c>
      <c r="G366" s="709" t="str">
        <f t="shared" ca="1" si="35"/>
        <v>DE.AE-410</v>
      </c>
    </row>
    <row r="367" spans="1:7" x14ac:dyDescent="0.25">
      <c r="A367" t="s">
        <v>260</v>
      </c>
      <c r="B367" s="615">
        <v>1</v>
      </c>
      <c r="C367" t="s">
        <v>1831</v>
      </c>
      <c r="D367" t="s">
        <v>1909</v>
      </c>
      <c r="E367" s="615">
        <f ca="1">VLOOKUP(A367,Data!C:I,7,FALSE)</f>
        <v>0</v>
      </c>
      <c r="F367" s="709" t="str">
        <f t="shared" si="34"/>
        <v>RS.AN-11</v>
      </c>
      <c r="G367" s="709" t="str">
        <f t="shared" ca="1" si="35"/>
        <v>RS.AN-110</v>
      </c>
    </row>
    <row r="368" spans="1:7" x14ac:dyDescent="0.25">
      <c r="A368" t="s">
        <v>261</v>
      </c>
      <c r="B368" s="615">
        <v>2</v>
      </c>
      <c r="C368" t="s">
        <v>1830</v>
      </c>
      <c r="D368" t="s">
        <v>1914</v>
      </c>
      <c r="E368" s="615">
        <f ca="1">VLOOKUP(A368,Data!C:I,7,FALSE)</f>
        <v>0</v>
      </c>
      <c r="F368" s="709" t="str">
        <f t="shared" si="34"/>
        <v>DE.AE-42</v>
      </c>
      <c r="G368" s="709" t="str">
        <f t="shared" ca="1" si="35"/>
        <v>DE.AE-420</v>
      </c>
    </row>
    <row r="369" spans="1:7" x14ac:dyDescent="0.25">
      <c r="A369" t="s">
        <v>261</v>
      </c>
      <c r="B369" s="615">
        <v>2</v>
      </c>
      <c r="C369" t="s">
        <v>1830</v>
      </c>
      <c r="D369" t="s">
        <v>1912</v>
      </c>
      <c r="E369" s="615">
        <f ca="1">VLOOKUP(A369,Data!C:I,7,FALSE)</f>
        <v>0</v>
      </c>
      <c r="F369" s="709" t="str">
        <f t="shared" si="34"/>
        <v>DE.AE-52</v>
      </c>
      <c r="G369" s="709" t="str">
        <f t="shared" ca="1" si="35"/>
        <v>DE.AE-520</v>
      </c>
    </row>
    <row r="370" spans="1:7" x14ac:dyDescent="0.25">
      <c r="A370" t="s">
        <v>261</v>
      </c>
      <c r="B370" s="615">
        <v>2</v>
      </c>
      <c r="C370" t="s">
        <v>1831</v>
      </c>
      <c r="D370" t="s">
        <v>1915</v>
      </c>
      <c r="E370" s="615">
        <f ca="1">VLOOKUP(A370,Data!C:I,7,FALSE)</f>
        <v>0</v>
      </c>
      <c r="F370" s="709" t="str">
        <f t="shared" si="34"/>
        <v>RS.AN-22</v>
      </c>
      <c r="G370" s="709" t="str">
        <f t="shared" ca="1" si="35"/>
        <v>RS.AN-220</v>
      </c>
    </row>
    <row r="371" spans="1:7" x14ac:dyDescent="0.25">
      <c r="A371" t="s">
        <v>262</v>
      </c>
      <c r="B371" s="615">
        <v>2</v>
      </c>
      <c r="C371" t="s">
        <v>1830</v>
      </c>
      <c r="D371" t="s">
        <v>1910</v>
      </c>
      <c r="E371" s="615">
        <f ca="1">VLOOKUP(A371,Data!C:I,7,FALSE)</f>
        <v>0</v>
      </c>
      <c r="F371" s="709" t="str">
        <f t="shared" si="34"/>
        <v>DE.AE-22</v>
      </c>
      <c r="G371" s="709" t="str">
        <f t="shared" ca="1" si="35"/>
        <v>DE.AE-220</v>
      </c>
    </row>
    <row r="372" spans="1:7" x14ac:dyDescent="0.25">
      <c r="A372" t="s">
        <v>262</v>
      </c>
      <c r="B372" s="615">
        <v>2</v>
      </c>
      <c r="C372" t="s">
        <v>1831</v>
      </c>
      <c r="D372" t="s">
        <v>1913</v>
      </c>
      <c r="E372" s="615">
        <f ca="1">VLOOKUP(A372,Data!C:I,7,FALSE)</f>
        <v>0</v>
      </c>
      <c r="F372" s="709" t="str">
        <f t="shared" si="34"/>
        <v>RS.AN-42</v>
      </c>
      <c r="G372" s="709" t="str">
        <f t="shared" ca="1" si="35"/>
        <v>RS.AN-420</v>
      </c>
    </row>
    <row r="373" spans="1:7" x14ac:dyDescent="0.25">
      <c r="A373" t="s">
        <v>263</v>
      </c>
      <c r="B373" s="615">
        <v>2</v>
      </c>
      <c r="C373" t="s">
        <v>1830</v>
      </c>
      <c r="D373" t="s">
        <v>1912</v>
      </c>
      <c r="E373" s="615">
        <f ca="1">VLOOKUP(A373,Data!C:I,7,FALSE)</f>
        <v>0</v>
      </c>
      <c r="F373" s="709" t="str">
        <f t="shared" si="34"/>
        <v>DE.AE-52</v>
      </c>
      <c r="G373" s="709" t="str">
        <f t="shared" ca="1" si="35"/>
        <v>DE.AE-520</v>
      </c>
    </row>
    <row r="374" spans="1:7" x14ac:dyDescent="0.25">
      <c r="A374" t="s">
        <v>263</v>
      </c>
      <c r="B374" s="615">
        <v>2</v>
      </c>
      <c r="C374" t="s">
        <v>1830</v>
      </c>
      <c r="D374" t="s">
        <v>1916</v>
      </c>
      <c r="E374" s="615">
        <f ca="1">VLOOKUP(A374,Data!C:I,7,FALSE)</f>
        <v>0</v>
      </c>
      <c r="F374" s="709" t="str">
        <f t="shared" si="34"/>
        <v>DE.DP-32</v>
      </c>
      <c r="G374" s="709" t="str">
        <f t="shared" ca="1" si="35"/>
        <v>DE.DP-320</v>
      </c>
    </row>
    <row r="375" spans="1:7" x14ac:dyDescent="0.25">
      <c r="A375" t="s">
        <v>263</v>
      </c>
      <c r="B375" s="615">
        <v>2</v>
      </c>
      <c r="C375" t="s">
        <v>1830</v>
      </c>
      <c r="D375" t="s">
        <v>1911</v>
      </c>
      <c r="E375" s="615">
        <f ca="1">VLOOKUP(A375,Data!C:I,7,FALSE)</f>
        <v>0</v>
      </c>
      <c r="F375" s="709" t="str">
        <f t="shared" si="34"/>
        <v>DE.DP-52</v>
      </c>
      <c r="G375" s="709" t="str">
        <f t="shared" ca="1" si="35"/>
        <v>DE.DP-520</v>
      </c>
    </row>
    <row r="376" spans="1:7" x14ac:dyDescent="0.25">
      <c r="A376" t="s">
        <v>263</v>
      </c>
      <c r="B376" s="615">
        <v>2</v>
      </c>
      <c r="C376" t="s">
        <v>1831</v>
      </c>
      <c r="D376" t="s">
        <v>1913</v>
      </c>
      <c r="E376" s="615">
        <f ca="1">VLOOKUP(A376,Data!C:I,7,FALSE)</f>
        <v>0</v>
      </c>
      <c r="F376" s="709" t="str">
        <f t="shared" si="34"/>
        <v>RS.AN-42</v>
      </c>
      <c r="G376" s="709" t="str">
        <f t="shared" ca="1" si="35"/>
        <v>RS.AN-420</v>
      </c>
    </row>
    <row r="377" spans="1:7" x14ac:dyDescent="0.25">
      <c r="A377" t="s">
        <v>264</v>
      </c>
      <c r="B377" s="615">
        <v>2</v>
      </c>
      <c r="C377" t="s">
        <v>1830</v>
      </c>
      <c r="D377" t="s">
        <v>1910</v>
      </c>
      <c r="E377" s="615">
        <f ca="1">VLOOKUP(A377,Data!C:I,7,FALSE)</f>
        <v>0</v>
      </c>
      <c r="F377" s="709" t="str">
        <f t="shared" si="34"/>
        <v>DE.AE-22</v>
      </c>
      <c r="G377" s="709" t="str">
        <f t="shared" ca="1" si="35"/>
        <v>DE.AE-220</v>
      </c>
    </row>
    <row r="378" spans="1:7" x14ac:dyDescent="0.25">
      <c r="A378" t="s">
        <v>264</v>
      </c>
      <c r="B378" s="615">
        <v>2</v>
      </c>
      <c r="C378" t="s">
        <v>1831</v>
      </c>
      <c r="D378" t="s">
        <v>1909</v>
      </c>
      <c r="E378" s="615">
        <f ca="1">VLOOKUP(A378,Data!C:I,7,FALSE)</f>
        <v>0</v>
      </c>
      <c r="F378" s="709" t="str">
        <f t="shared" si="34"/>
        <v>RS.AN-12</v>
      </c>
      <c r="G378" s="709" t="str">
        <f t="shared" ca="1" si="35"/>
        <v>RS.AN-120</v>
      </c>
    </row>
    <row r="379" spans="1:7" x14ac:dyDescent="0.25">
      <c r="A379" t="s">
        <v>265</v>
      </c>
      <c r="B379" s="615">
        <v>2</v>
      </c>
      <c r="C379" t="s">
        <v>1830</v>
      </c>
      <c r="D379" t="s">
        <v>1906</v>
      </c>
      <c r="E379" s="615">
        <f ca="1">VLOOKUP(A379,Data!C:I,7,FALSE)</f>
        <v>0</v>
      </c>
      <c r="F379" s="709" t="str">
        <f t="shared" si="34"/>
        <v>DE.DP-12</v>
      </c>
      <c r="G379" s="709" t="str">
        <f t="shared" ca="1" si="35"/>
        <v>DE.DP-120</v>
      </c>
    </row>
    <row r="380" spans="1:7" x14ac:dyDescent="0.25">
      <c r="A380" t="s">
        <v>265</v>
      </c>
      <c r="B380" s="615">
        <v>2</v>
      </c>
      <c r="C380" t="s">
        <v>1830</v>
      </c>
      <c r="D380" t="s">
        <v>1907</v>
      </c>
      <c r="E380" s="615">
        <f ca="1">VLOOKUP(A380,Data!C:I,7,FALSE)</f>
        <v>0</v>
      </c>
      <c r="F380" s="709" t="str">
        <f t="shared" si="34"/>
        <v>DE.DP-42</v>
      </c>
      <c r="G380" s="709" t="str">
        <f t="shared" ca="1" si="35"/>
        <v>DE.DP-420</v>
      </c>
    </row>
    <row r="381" spans="1:7" x14ac:dyDescent="0.25">
      <c r="A381" t="s">
        <v>265</v>
      </c>
      <c r="B381" s="615">
        <v>2</v>
      </c>
      <c r="C381" t="s">
        <v>1832</v>
      </c>
      <c r="D381" t="s">
        <v>1917</v>
      </c>
      <c r="E381" s="615">
        <f ca="1">VLOOKUP(A381,Data!C:I,7,FALSE)</f>
        <v>0</v>
      </c>
      <c r="F381" s="709" t="str">
        <f t="shared" si="34"/>
        <v>RC.CO-32</v>
      </c>
      <c r="G381" s="709" t="str">
        <f t="shared" ca="1" si="35"/>
        <v>RC.CO-320</v>
      </c>
    </row>
    <row r="382" spans="1:7" x14ac:dyDescent="0.25">
      <c r="A382" t="s">
        <v>265</v>
      </c>
      <c r="B382" s="615">
        <v>2</v>
      </c>
      <c r="C382" t="s">
        <v>1831</v>
      </c>
      <c r="D382" t="s">
        <v>1902</v>
      </c>
      <c r="E382" s="615">
        <f ca="1">VLOOKUP(A382,Data!C:I,7,FALSE)</f>
        <v>0</v>
      </c>
      <c r="F382" s="709" t="str">
        <f t="shared" si="34"/>
        <v>RS.CO-22</v>
      </c>
      <c r="G382" s="709" t="str">
        <f t="shared" ca="1" si="35"/>
        <v>RS.CO-220</v>
      </c>
    </row>
    <row r="383" spans="1:7" x14ac:dyDescent="0.25">
      <c r="A383" t="s">
        <v>265</v>
      </c>
      <c r="B383" s="615">
        <v>2</v>
      </c>
      <c r="C383" t="s">
        <v>1831</v>
      </c>
      <c r="D383" t="s">
        <v>1903</v>
      </c>
      <c r="E383" s="615">
        <f ca="1">VLOOKUP(A383,Data!C:I,7,FALSE)</f>
        <v>0</v>
      </c>
      <c r="F383" s="709" t="str">
        <f t="shared" si="34"/>
        <v>RS.CO-32</v>
      </c>
      <c r="G383" s="709" t="str">
        <f t="shared" ca="1" si="35"/>
        <v>RS.CO-320</v>
      </c>
    </row>
    <row r="384" spans="1:7" x14ac:dyDescent="0.25">
      <c r="A384" t="s">
        <v>265</v>
      </c>
      <c r="B384" s="615">
        <v>2</v>
      </c>
      <c r="C384" t="s">
        <v>1831</v>
      </c>
      <c r="D384" t="s">
        <v>1901</v>
      </c>
      <c r="E384" s="615">
        <f ca="1">VLOOKUP(A384,Data!C:I,7,FALSE)</f>
        <v>0</v>
      </c>
      <c r="F384" s="709" t="str">
        <f t="shared" si="34"/>
        <v>RS.CO-42</v>
      </c>
      <c r="G384" s="709" t="str">
        <f t="shared" ca="1" si="35"/>
        <v>RS.CO-420</v>
      </c>
    </row>
    <row r="385" spans="1:7" x14ac:dyDescent="0.25">
      <c r="A385" t="s">
        <v>266</v>
      </c>
      <c r="B385" s="615">
        <v>3</v>
      </c>
      <c r="C385" t="s">
        <v>1830</v>
      </c>
      <c r="D385" t="s">
        <v>1914</v>
      </c>
      <c r="E385" s="615">
        <f ca="1">VLOOKUP(A385,Data!C:I,7,FALSE)</f>
        <v>0</v>
      </c>
      <c r="F385" s="709" t="str">
        <f t="shared" si="34"/>
        <v>DE.AE-43</v>
      </c>
      <c r="G385" s="709" t="str">
        <f t="shared" ca="1" si="35"/>
        <v>DE.AE-430</v>
      </c>
    </row>
    <row r="386" spans="1:7" x14ac:dyDescent="0.25">
      <c r="A386" t="s">
        <v>266</v>
      </c>
      <c r="B386" s="615">
        <v>3</v>
      </c>
      <c r="C386" t="s">
        <v>1830</v>
      </c>
      <c r="D386" t="s">
        <v>1912</v>
      </c>
      <c r="E386" s="615">
        <f ca="1">VLOOKUP(A386,Data!C:I,7,FALSE)</f>
        <v>0</v>
      </c>
      <c r="F386" s="709" t="str">
        <f t="shared" si="34"/>
        <v>DE.AE-53</v>
      </c>
      <c r="G386" s="709" t="str">
        <f t="shared" ca="1" si="35"/>
        <v>DE.AE-530</v>
      </c>
    </row>
    <row r="387" spans="1:7" x14ac:dyDescent="0.25">
      <c r="A387" t="s">
        <v>266</v>
      </c>
      <c r="B387" s="615">
        <v>3</v>
      </c>
      <c r="C387" t="s">
        <v>1831</v>
      </c>
      <c r="D387" t="s">
        <v>1915</v>
      </c>
      <c r="E387" s="615">
        <f ca="1">VLOOKUP(A387,Data!C:I,7,FALSE)</f>
        <v>0</v>
      </c>
      <c r="F387" s="709" t="str">
        <f t="shared" ref="F387:F450" si="36">CONCATENATE($D387,$B387)</f>
        <v>RS.AN-23</v>
      </c>
      <c r="G387" s="709" t="str">
        <f t="shared" ref="G387:G450" ca="1" si="37">_xlfn.IFNA(CONCATENATE(F387,$E387),CONCATENATE(F387,$E387,0))</f>
        <v>RS.AN-230</v>
      </c>
    </row>
    <row r="388" spans="1:7" x14ac:dyDescent="0.25">
      <c r="A388" t="s">
        <v>267</v>
      </c>
      <c r="B388" s="615">
        <v>3</v>
      </c>
      <c r="C388" t="s">
        <v>1830</v>
      </c>
      <c r="D388" t="s">
        <v>1910</v>
      </c>
      <c r="E388" s="615">
        <f ca="1">VLOOKUP(A388,Data!C:I,7,FALSE)</f>
        <v>0</v>
      </c>
      <c r="F388" s="709" t="str">
        <f t="shared" si="36"/>
        <v>DE.AE-23</v>
      </c>
      <c r="G388" s="709" t="str">
        <f t="shared" ca="1" si="37"/>
        <v>DE.AE-230</v>
      </c>
    </row>
    <row r="389" spans="1:7" x14ac:dyDescent="0.25">
      <c r="A389" t="s">
        <v>267</v>
      </c>
      <c r="B389" s="615">
        <v>3</v>
      </c>
      <c r="C389" t="s">
        <v>1830</v>
      </c>
      <c r="D389" t="s">
        <v>1905</v>
      </c>
      <c r="E389" s="615">
        <f ca="1">VLOOKUP(A389,Data!C:I,7,FALSE)</f>
        <v>0</v>
      </c>
      <c r="F389" s="709" t="str">
        <f t="shared" si="36"/>
        <v>DE.AE-33</v>
      </c>
      <c r="G389" s="709" t="str">
        <f t="shared" ca="1" si="37"/>
        <v>DE.AE-330</v>
      </c>
    </row>
    <row r="390" spans="1:7" x14ac:dyDescent="0.25">
      <c r="A390" t="s">
        <v>267</v>
      </c>
      <c r="B390" s="615">
        <v>3</v>
      </c>
      <c r="C390" t="s">
        <v>1831</v>
      </c>
      <c r="D390" t="s">
        <v>1909</v>
      </c>
      <c r="E390" s="615">
        <f ca="1">VLOOKUP(A390,Data!C:I,7,FALSE)</f>
        <v>0</v>
      </c>
      <c r="F390" s="709" t="str">
        <f t="shared" si="36"/>
        <v>RS.AN-13</v>
      </c>
      <c r="G390" s="709" t="str">
        <f t="shared" ca="1" si="37"/>
        <v>RS.AN-130</v>
      </c>
    </row>
    <row r="391" spans="1:7" x14ac:dyDescent="0.25">
      <c r="A391" t="s">
        <v>268</v>
      </c>
      <c r="B391" s="615">
        <v>1</v>
      </c>
      <c r="C391" t="s">
        <v>1829</v>
      </c>
      <c r="D391" t="s">
        <v>1897</v>
      </c>
      <c r="E391" s="615">
        <f ca="1">VLOOKUP(A391,Data!C:I,7,FALSE)</f>
        <v>0</v>
      </c>
      <c r="F391" s="709" t="str">
        <f t="shared" si="36"/>
        <v>PR.IP-91</v>
      </c>
      <c r="G391" s="709" t="str">
        <f t="shared" ca="1" si="37"/>
        <v>PR.IP-910</v>
      </c>
    </row>
    <row r="392" spans="1:7" x14ac:dyDescent="0.25">
      <c r="A392" t="s">
        <v>268</v>
      </c>
      <c r="B392" s="615">
        <v>1</v>
      </c>
      <c r="C392" t="s">
        <v>1831</v>
      </c>
      <c r="D392" t="s">
        <v>1899</v>
      </c>
      <c r="E392" s="615">
        <f ca="1">VLOOKUP(A392,Data!C:I,7,FALSE)</f>
        <v>0</v>
      </c>
      <c r="F392" s="709" t="str">
        <f t="shared" si="36"/>
        <v>RS.CO-11</v>
      </c>
      <c r="G392" s="709" t="str">
        <f t="shared" ca="1" si="37"/>
        <v>RS.CO-110</v>
      </c>
    </row>
    <row r="393" spans="1:7" x14ac:dyDescent="0.25">
      <c r="A393" t="s">
        <v>269</v>
      </c>
      <c r="B393" s="615">
        <v>1</v>
      </c>
      <c r="C393" t="s">
        <v>1829</v>
      </c>
      <c r="D393" t="s">
        <v>1897</v>
      </c>
      <c r="E393" s="615">
        <f ca="1">VLOOKUP(A393,Data!C:I,7,FALSE)</f>
        <v>0</v>
      </c>
      <c r="F393" s="709" t="str">
        <f t="shared" si="36"/>
        <v>PR.IP-91</v>
      </c>
      <c r="G393" s="709" t="str">
        <f t="shared" ca="1" si="37"/>
        <v>PR.IP-910</v>
      </c>
    </row>
    <row r="394" spans="1:7" x14ac:dyDescent="0.25">
      <c r="A394" t="s">
        <v>269</v>
      </c>
      <c r="B394" s="615">
        <v>1</v>
      </c>
      <c r="C394" t="s">
        <v>1832</v>
      </c>
      <c r="D394" t="s">
        <v>1918</v>
      </c>
      <c r="E394" s="615">
        <f ca="1">VLOOKUP(A394,Data!C:I,7,FALSE)</f>
        <v>0</v>
      </c>
      <c r="F394" s="709" t="str">
        <f t="shared" si="36"/>
        <v>RC.RP-11</v>
      </c>
      <c r="G394" s="709" t="str">
        <f t="shared" ca="1" si="37"/>
        <v>RC.RP-110</v>
      </c>
    </row>
    <row r="395" spans="1:7" x14ac:dyDescent="0.25">
      <c r="A395" t="s">
        <v>269</v>
      </c>
      <c r="B395" s="615">
        <v>1</v>
      </c>
      <c r="C395" t="s">
        <v>1831</v>
      </c>
      <c r="D395" t="s">
        <v>1919</v>
      </c>
      <c r="E395" s="615">
        <f ca="1">VLOOKUP(A395,Data!C:I,7,FALSE)</f>
        <v>0</v>
      </c>
      <c r="F395" s="709" t="str">
        <f t="shared" si="36"/>
        <v>RS.MI-11</v>
      </c>
      <c r="G395" s="709" t="str">
        <f t="shared" ca="1" si="37"/>
        <v>RS.MI-110</v>
      </c>
    </row>
    <row r="396" spans="1:7" x14ac:dyDescent="0.25">
      <c r="A396" t="s">
        <v>269</v>
      </c>
      <c r="B396" s="615">
        <v>1</v>
      </c>
      <c r="C396" t="s">
        <v>1831</v>
      </c>
      <c r="D396" t="s">
        <v>1920</v>
      </c>
      <c r="E396" s="615">
        <f ca="1">VLOOKUP(A396,Data!C:I,7,FALSE)</f>
        <v>0</v>
      </c>
      <c r="F396" s="709" t="str">
        <f t="shared" si="36"/>
        <v>RS.MI-21</v>
      </c>
      <c r="G396" s="709" t="str">
        <f t="shared" ca="1" si="37"/>
        <v>RS.MI-210</v>
      </c>
    </row>
    <row r="397" spans="1:7" x14ac:dyDescent="0.25">
      <c r="A397" t="s">
        <v>269</v>
      </c>
      <c r="B397" s="615">
        <v>1</v>
      </c>
      <c r="C397" t="s">
        <v>1831</v>
      </c>
      <c r="D397" t="s">
        <v>1898</v>
      </c>
      <c r="E397" s="615">
        <f ca="1">VLOOKUP(A397,Data!C:I,7,FALSE)</f>
        <v>0</v>
      </c>
      <c r="F397" s="709" t="str">
        <f t="shared" si="36"/>
        <v>RS.RP-11</v>
      </c>
      <c r="G397" s="709" t="str">
        <f t="shared" ca="1" si="37"/>
        <v>RS.RP-110</v>
      </c>
    </row>
    <row r="398" spans="1:7" x14ac:dyDescent="0.25">
      <c r="A398" t="s">
        <v>270</v>
      </c>
      <c r="B398" s="615">
        <v>1</v>
      </c>
      <c r="C398" t="s">
        <v>1830</v>
      </c>
      <c r="D398" t="s">
        <v>1907</v>
      </c>
      <c r="E398" s="615">
        <f ca="1">VLOOKUP(A398,Data!C:I,7,FALSE)</f>
        <v>0</v>
      </c>
      <c r="F398" s="709" t="str">
        <f t="shared" si="36"/>
        <v>DE.DP-41</v>
      </c>
      <c r="G398" s="709" t="str">
        <f t="shared" ca="1" si="37"/>
        <v>DE.DP-410</v>
      </c>
    </row>
    <row r="399" spans="1:7" x14ac:dyDescent="0.25">
      <c r="A399" t="s">
        <v>270</v>
      </c>
      <c r="B399" s="615">
        <v>1</v>
      </c>
      <c r="C399" t="s">
        <v>1829</v>
      </c>
      <c r="D399" t="s">
        <v>1897</v>
      </c>
      <c r="E399" s="615">
        <f ca="1">VLOOKUP(A399,Data!C:I,7,FALSE)</f>
        <v>0</v>
      </c>
      <c r="F399" s="709" t="str">
        <f t="shared" si="36"/>
        <v>PR.IP-91</v>
      </c>
      <c r="G399" s="709" t="str">
        <f t="shared" ca="1" si="37"/>
        <v>PR.IP-910</v>
      </c>
    </row>
    <row r="400" spans="1:7" x14ac:dyDescent="0.25">
      <c r="A400" t="s">
        <v>270</v>
      </c>
      <c r="B400" s="615">
        <v>1</v>
      </c>
      <c r="C400" t="s">
        <v>1831</v>
      </c>
      <c r="D400" t="s">
        <v>1898</v>
      </c>
      <c r="E400" s="615">
        <f ca="1">VLOOKUP(A400,Data!C:I,7,FALSE)</f>
        <v>0</v>
      </c>
      <c r="F400" s="709" t="str">
        <f t="shared" si="36"/>
        <v>RS.RP-11</v>
      </c>
      <c r="G400" s="709" t="str">
        <f t="shared" ca="1" si="37"/>
        <v>RS.RP-110</v>
      </c>
    </row>
    <row r="401" spans="1:7" x14ac:dyDescent="0.25">
      <c r="A401" t="s">
        <v>271</v>
      </c>
      <c r="B401" s="615">
        <v>2</v>
      </c>
      <c r="C401" t="s">
        <v>1829</v>
      </c>
      <c r="D401" t="s">
        <v>1897</v>
      </c>
      <c r="E401" s="615">
        <f ca="1">VLOOKUP(A401,Data!C:I,7,FALSE)</f>
        <v>0</v>
      </c>
      <c r="F401" s="709" t="str">
        <f t="shared" si="36"/>
        <v>PR.IP-92</v>
      </c>
      <c r="G401" s="709" t="str">
        <f t="shared" ca="1" si="37"/>
        <v>PR.IP-920</v>
      </c>
    </row>
    <row r="402" spans="1:7" x14ac:dyDescent="0.25">
      <c r="A402" t="s">
        <v>271</v>
      </c>
      <c r="B402" s="615">
        <v>2</v>
      </c>
      <c r="C402" t="s">
        <v>1832</v>
      </c>
      <c r="D402" t="s">
        <v>1921</v>
      </c>
      <c r="E402" s="615">
        <f ca="1">VLOOKUP(A402,Data!C:I,7,FALSE)</f>
        <v>0</v>
      </c>
      <c r="F402" s="709" t="str">
        <f t="shared" si="36"/>
        <v>RC.CO-22</v>
      </c>
      <c r="G402" s="709" t="str">
        <f t="shared" ca="1" si="37"/>
        <v>RC.CO-220</v>
      </c>
    </row>
    <row r="403" spans="1:7" x14ac:dyDescent="0.25">
      <c r="A403" t="s">
        <v>271</v>
      </c>
      <c r="B403" s="615">
        <v>2</v>
      </c>
      <c r="C403" t="s">
        <v>1832</v>
      </c>
      <c r="D403" t="s">
        <v>1917</v>
      </c>
      <c r="E403" s="615">
        <f ca="1">VLOOKUP(A403,Data!C:I,7,FALSE)</f>
        <v>0</v>
      </c>
      <c r="F403" s="709" t="str">
        <f t="shared" si="36"/>
        <v>RC.CO-32</v>
      </c>
      <c r="G403" s="709" t="str">
        <f t="shared" ca="1" si="37"/>
        <v>RC.CO-320</v>
      </c>
    </row>
    <row r="404" spans="1:7" x14ac:dyDescent="0.25">
      <c r="A404" t="s">
        <v>271</v>
      </c>
      <c r="B404" s="615">
        <v>2</v>
      </c>
      <c r="C404" t="s">
        <v>1832</v>
      </c>
      <c r="D404" t="s">
        <v>1918</v>
      </c>
      <c r="E404" s="615">
        <f ca="1">VLOOKUP(A404,Data!C:I,7,FALSE)</f>
        <v>0</v>
      </c>
      <c r="F404" s="709" t="str">
        <f t="shared" si="36"/>
        <v>RC.RP-12</v>
      </c>
      <c r="G404" s="709" t="str">
        <f t="shared" ca="1" si="37"/>
        <v>RC.RP-120</v>
      </c>
    </row>
    <row r="405" spans="1:7" x14ac:dyDescent="0.25">
      <c r="A405" t="s">
        <v>271</v>
      </c>
      <c r="B405" s="615">
        <v>2</v>
      </c>
      <c r="C405" t="s">
        <v>1831</v>
      </c>
      <c r="D405" t="s">
        <v>1899</v>
      </c>
      <c r="E405" s="615">
        <f ca="1">VLOOKUP(A405,Data!C:I,7,FALSE)</f>
        <v>0</v>
      </c>
      <c r="F405" s="709" t="str">
        <f t="shared" si="36"/>
        <v>RS.CO-12</v>
      </c>
      <c r="G405" s="709" t="str">
        <f t="shared" ca="1" si="37"/>
        <v>RS.CO-120</v>
      </c>
    </row>
    <row r="406" spans="1:7" x14ac:dyDescent="0.25">
      <c r="A406" t="s">
        <v>271</v>
      </c>
      <c r="B406" s="615">
        <v>2</v>
      </c>
      <c r="C406" t="s">
        <v>1831</v>
      </c>
      <c r="D406" t="s">
        <v>1898</v>
      </c>
      <c r="E406" s="615">
        <f ca="1">VLOOKUP(A406,Data!C:I,7,FALSE)</f>
        <v>0</v>
      </c>
      <c r="F406" s="709" t="str">
        <f t="shared" si="36"/>
        <v>RS.RP-12</v>
      </c>
      <c r="G406" s="709" t="str">
        <f t="shared" ca="1" si="37"/>
        <v>RS.RP-120</v>
      </c>
    </row>
    <row r="407" spans="1:7" x14ac:dyDescent="0.25">
      <c r="A407" t="s">
        <v>272</v>
      </c>
      <c r="B407" s="615">
        <v>2</v>
      </c>
      <c r="C407" t="s">
        <v>1829</v>
      </c>
      <c r="D407" t="s">
        <v>1897</v>
      </c>
      <c r="E407" s="615">
        <f ca="1">VLOOKUP(A407,Data!C:I,7,FALSE)</f>
        <v>0</v>
      </c>
      <c r="F407" s="709" t="str">
        <f t="shared" si="36"/>
        <v>PR.IP-92</v>
      </c>
      <c r="G407" s="709" t="str">
        <f t="shared" ca="1" si="37"/>
        <v>PR.IP-920</v>
      </c>
    </row>
    <row r="408" spans="1:7" x14ac:dyDescent="0.25">
      <c r="A408" t="s">
        <v>272</v>
      </c>
      <c r="B408" s="615">
        <v>2</v>
      </c>
      <c r="C408" t="s">
        <v>1832</v>
      </c>
      <c r="D408" t="s">
        <v>1918</v>
      </c>
      <c r="E408" s="615">
        <f ca="1">VLOOKUP(A408,Data!C:I,7,FALSE)</f>
        <v>0</v>
      </c>
      <c r="F408" s="709" t="str">
        <f t="shared" si="36"/>
        <v>RC.RP-12</v>
      </c>
      <c r="G408" s="709" t="str">
        <f t="shared" ca="1" si="37"/>
        <v>RC.RP-120</v>
      </c>
    </row>
    <row r="409" spans="1:7" x14ac:dyDescent="0.25">
      <c r="A409" t="s">
        <v>272</v>
      </c>
      <c r="B409" s="615">
        <v>2</v>
      </c>
      <c r="C409" t="s">
        <v>1831</v>
      </c>
      <c r="D409" t="s">
        <v>1902</v>
      </c>
      <c r="E409" s="615">
        <f ca="1">VLOOKUP(A409,Data!C:I,7,FALSE)</f>
        <v>0</v>
      </c>
      <c r="F409" s="709" t="str">
        <f t="shared" si="36"/>
        <v>RS.CO-22</v>
      </c>
      <c r="G409" s="709" t="str">
        <f t="shared" ca="1" si="37"/>
        <v>RS.CO-220</v>
      </c>
    </row>
    <row r="410" spans="1:7" x14ac:dyDescent="0.25">
      <c r="A410" t="s">
        <v>272</v>
      </c>
      <c r="B410" s="615">
        <v>2</v>
      </c>
      <c r="C410" t="s">
        <v>1831</v>
      </c>
      <c r="D410" t="s">
        <v>1903</v>
      </c>
      <c r="E410" s="615">
        <f ca="1">VLOOKUP(A410,Data!C:I,7,FALSE)</f>
        <v>0</v>
      </c>
      <c r="F410" s="709" t="str">
        <f t="shared" si="36"/>
        <v>RS.CO-32</v>
      </c>
      <c r="G410" s="709" t="str">
        <f t="shared" ca="1" si="37"/>
        <v>RS.CO-320</v>
      </c>
    </row>
    <row r="411" spans="1:7" x14ac:dyDescent="0.25">
      <c r="A411" t="s">
        <v>272</v>
      </c>
      <c r="B411" s="615">
        <v>2</v>
      </c>
      <c r="C411" t="s">
        <v>1831</v>
      </c>
      <c r="D411" t="s">
        <v>1901</v>
      </c>
      <c r="E411" s="615">
        <f ca="1">VLOOKUP(A411,Data!C:I,7,FALSE)</f>
        <v>0</v>
      </c>
      <c r="F411" s="709" t="str">
        <f t="shared" si="36"/>
        <v>RS.CO-42</v>
      </c>
      <c r="G411" s="709" t="str">
        <f t="shared" ca="1" si="37"/>
        <v>RS.CO-420</v>
      </c>
    </row>
    <row r="412" spans="1:7" x14ac:dyDescent="0.25">
      <c r="A412" t="s">
        <v>272</v>
      </c>
      <c r="B412" s="615">
        <v>2</v>
      </c>
      <c r="C412" t="s">
        <v>1831</v>
      </c>
      <c r="D412" t="s">
        <v>1898</v>
      </c>
      <c r="E412" s="615">
        <f ca="1">VLOOKUP(A412,Data!C:I,7,FALSE)</f>
        <v>0</v>
      </c>
      <c r="F412" s="709" t="str">
        <f t="shared" si="36"/>
        <v>RS.RP-12</v>
      </c>
      <c r="G412" s="709" t="str">
        <f t="shared" ca="1" si="37"/>
        <v>RS.RP-120</v>
      </c>
    </row>
    <row r="413" spans="1:7" x14ac:dyDescent="0.25">
      <c r="A413" t="s">
        <v>273</v>
      </c>
      <c r="B413" s="615">
        <v>2</v>
      </c>
      <c r="C413" t="s">
        <v>1830</v>
      </c>
      <c r="D413" t="s">
        <v>1916</v>
      </c>
      <c r="E413" s="615">
        <f ca="1">VLOOKUP(A413,Data!C:I,7,FALSE)</f>
        <v>0</v>
      </c>
      <c r="F413" s="709" t="str">
        <f t="shared" si="36"/>
        <v>DE.DP-32</v>
      </c>
      <c r="G413" s="709" t="str">
        <f t="shared" ca="1" si="37"/>
        <v>DE.DP-320</v>
      </c>
    </row>
    <row r="414" spans="1:7" x14ac:dyDescent="0.25">
      <c r="A414" t="s">
        <v>273</v>
      </c>
      <c r="B414" s="615">
        <v>2</v>
      </c>
      <c r="C414" t="s">
        <v>507</v>
      </c>
      <c r="D414" t="s">
        <v>1900</v>
      </c>
      <c r="E414" s="615">
        <f ca="1">VLOOKUP(A414,Data!C:I,7,FALSE)</f>
        <v>0</v>
      </c>
      <c r="F414" s="709" t="str">
        <f t="shared" si="36"/>
        <v>ID.SC-52</v>
      </c>
      <c r="G414" s="709" t="str">
        <f t="shared" ca="1" si="37"/>
        <v>ID.SC-520</v>
      </c>
    </row>
    <row r="415" spans="1:7" x14ac:dyDescent="0.25">
      <c r="A415" t="s">
        <v>273</v>
      </c>
      <c r="B415" s="615">
        <v>2</v>
      </c>
      <c r="C415" t="s">
        <v>1829</v>
      </c>
      <c r="D415" t="s">
        <v>1922</v>
      </c>
      <c r="E415" s="615">
        <f ca="1">VLOOKUP(A415,Data!C:I,7,FALSE)</f>
        <v>0</v>
      </c>
      <c r="F415" s="709" t="str">
        <f t="shared" si="36"/>
        <v>PR.IP-102</v>
      </c>
      <c r="G415" s="709" t="str">
        <f t="shared" ca="1" si="37"/>
        <v>PR.IP-1020</v>
      </c>
    </row>
    <row r="416" spans="1:7" x14ac:dyDescent="0.25">
      <c r="A416" t="s">
        <v>273</v>
      </c>
      <c r="B416" s="615">
        <v>2</v>
      </c>
      <c r="C416" t="s">
        <v>1829</v>
      </c>
      <c r="D416" t="s">
        <v>1897</v>
      </c>
      <c r="E416" s="615">
        <f ca="1">VLOOKUP(A416,Data!C:I,7,FALSE)</f>
        <v>0</v>
      </c>
      <c r="F416" s="709" t="str">
        <f t="shared" si="36"/>
        <v>PR.IP-92</v>
      </c>
      <c r="G416" s="709" t="str">
        <f t="shared" ca="1" si="37"/>
        <v>PR.IP-920</v>
      </c>
    </row>
    <row r="417" spans="1:7" x14ac:dyDescent="0.25">
      <c r="A417" t="s">
        <v>274</v>
      </c>
      <c r="B417" s="615">
        <v>2</v>
      </c>
      <c r="C417" t="s">
        <v>1830</v>
      </c>
      <c r="D417" t="s">
        <v>1910</v>
      </c>
      <c r="E417" s="615">
        <f ca="1">VLOOKUP(A417,Data!C:I,7,FALSE)</f>
        <v>0</v>
      </c>
      <c r="F417" s="709" t="str">
        <f t="shared" si="36"/>
        <v>DE.AE-22</v>
      </c>
      <c r="G417" s="709" t="str">
        <f t="shared" ca="1" si="37"/>
        <v>DE.AE-220</v>
      </c>
    </row>
    <row r="418" spans="1:7" x14ac:dyDescent="0.25">
      <c r="A418" t="s">
        <v>274</v>
      </c>
      <c r="B418" s="615">
        <v>2</v>
      </c>
      <c r="C418" t="s">
        <v>1830</v>
      </c>
      <c r="D418" t="s">
        <v>1911</v>
      </c>
      <c r="E418" s="615">
        <f ca="1">VLOOKUP(A418,Data!C:I,7,FALSE)</f>
        <v>0</v>
      </c>
      <c r="F418" s="709" t="str">
        <f t="shared" si="36"/>
        <v>DE.DP-52</v>
      </c>
      <c r="G418" s="709" t="str">
        <f t="shared" ca="1" si="37"/>
        <v>DE.DP-520</v>
      </c>
    </row>
    <row r="419" spans="1:7" x14ac:dyDescent="0.25">
      <c r="A419" t="s">
        <v>274</v>
      </c>
      <c r="B419" s="615">
        <v>2</v>
      </c>
      <c r="C419" t="s">
        <v>1829</v>
      </c>
      <c r="D419" t="s">
        <v>1897</v>
      </c>
      <c r="E419" s="615">
        <f ca="1">VLOOKUP(A419,Data!C:I,7,FALSE)</f>
        <v>0</v>
      </c>
      <c r="F419" s="709" t="str">
        <f t="shared" si="36"/>
        <v>PR.IP-92</v>
      </c>
      <c r="G419" s="709" t="str">
        <f t="shared" ca="1" si="37"/>
        <v>PR.IP-920</v>
      </c>
    </row>
    <row r="420" spans="1:7" x14ac:dyDescent="0.25">
      <c r="A420" t="s">
        <v>274</v>
      </c>
      <c r="B420" s="615">
        <v>2</v>
      </c>
      <c r="C420" t="s">
        <v>1832</v>
      </c>
      <c r="D420" t="s">
        <v>1923</v>
      </c>
      <c r="E420" s="615">
        <f ca="1">VLOOKUP(A420,Data!C:I,7,FALSE)</f>
        <v>0</v>
      </c>
      <c r="F420" s="709" t="str">
        <f t="shared" si="36"/>
        <v>RC.IM-12</v>
      </c>
      <c r="G420" s="709" t="str">
        <f t="shared" ca="1" si="37"/>
        <v>RC.IM-120</v>
      </c>
    </row>
    <row r="421" spans="1:7" x14ac:dyDescent="0.25">
      <c r="A421" t="s">
        <v>274</v>
      </c>
      <c r="B421" s="615">
        <v>2</v>
      </c>
      <c r="C421" t="s">
        <v>1832</v>
      </c>
      <c r="D421" t="s">
        <v>1924</v>
      </c>
      <c r="E421" s="615">
        <f ca="1">VLOOKUP(A421,Data!C:I,7,FALSE)</f>
        <v>0</v>
      </c>
      <c r="F421" s="709" t="str">
        <f t="shared" si="36"/>
        <v>RC.IM-22</v>
      </c>
      <c r="G421" s="709" t="str">
        <f t="shared" ca="1" si="37"/>
        <v>RC.IM-220</v>
      </c>
    </row>
    <row r="422" spans="1:7" x14ac:dyDescent="0.25">
      <c r="A422" t="s">
        <v>274</v>
      </c>
      <c r="B422" s="615">
        <v>2</v>
      </c>
      <c r="C422" t="s">
        <v>1831</v>
      </c>
      <c r="D422" t="s">
        <v>1925</v>
      </c>
      <c r="E422" s="615">
        <f ca="1">VLOOKUP(A422,Data!C:I,7,FALSE)</f>
        <v>0</v>
      </c>
      <c r="F422" s="709" t="str">
        <f t="shared" si="36"/>
        <v>RS.IM-12</v>
      </c>
      <c r="G422" s="709" t="str">
        <f t="shared" ca="1" si="37"/>
        <v>RS.IM-120</v>
      </c>
    </row>
    <row r="423" spans="1:7" x14ac:dyDescent="0.25">
      <c r="A423" t="s">
        <v>274</v>
      </c>
      <c r="B423" s="615">
        <v>2</v>
      </c>
      <c r="C423" t="s">
        <v>1831</v>
      </c>
      <c r="D423" t="s">
        <v>1926</v>
      </c>
      <c r="E423" s="615">
        <f ca="1">VLOOKUP(A423,Data!C:I,7,FALSE)</f>
        <v>0</v>
      </c>
      <c r="F423" s="709" t="str">
        <f t="shared" si="36"/>
        <v>RS.IM-22</v>
      </c>
      <c r="G423" s="709" t="str">
        <f t="shared" ca="1" si="37"/>
        <v>RS.IM-220</v>
      </c>
    </row>
    <row r="424" spans="1:7" x14ac:dyDescent="0.25">
      <c r="A424" t="s">
        <v>275</v>
      </c>
      <c r="B424" s="615">
        <v>3</v>
      </c>
      <c r="C424" t="s">
        <v>1829</v>
      </c>
      <c r="D424" t="s">
        <v>1897</v>
      </c>
      <c r="E424" s="615">
        <f ca="1">VLOOKUP(A424,Data!C:I,7,FALSE)</f>
        <v>0</v>
      </c>
      <c r="F424" s="709" t="str">
        <f t="shared" si="36"/>
        <v>PR.IP-93</v>
      </c>
      <c r="G424" s="709" t="str">
        <f t="shared" ca="1" si="37"/>
        <v>PR.IP-930</v>
      </c>
    </row>
    <row r="425" spans="1:7" x14ac:dyDescent="0.25">
      <c r="A425" t="s">
        <v>275</v>
      </c>
      <c r="B425" s="615">
        <v>3</v>
      </c>
      <c r="C425" t="s">
        <v>1832</v>
      </c>
      <c r="D425" t="s">
        <v>1923</v>
      </c>
      <c r="E425" s="615">
        <f ca="1">VLOOKUP(A425,Data!C:I,7,FALSE)</f>
        <v>0</v>
      </c>
      <c r="F425" s="709" t="str">
        <f t="shared" si="36"/>
        <v>RC.IM-13</v>
      </c>
      <c r="G425" s="709" t="str">
        <f t="shared" ca="1" si="37"/>
        <v>RC.IM-130</v>
      </c>
    </row>
    <row r="426" spans="1:7" x14ac:dyDescent="0.25">
      <c r="A426" t="s">
        <v>275</v>
      </c>
      <c r="B426" s="615">
        <v>3</v>
      </c>
      <c r="C426" t="s">
        <v>1832</v>
      </c>
      <c r="D426" t="s">
        <v>1924</v>
      </c>
      <c r="E426" s="615">
        <f ca="1">VLOOKUP(A426,Data!C:I,7,FALSE)</f>
        <v>0</v>
      </c>
      <c r="F426" s="709" t="str">
        <f t="shared" si="36"/>
        <v>RC.IM-23</v>
      </c>
      <c r="G426" s="709" t="str">
        <f t="shared" ca="1" si="37"/>
        <v>RC.IM-230</v>
      </c>
    </row>
    <row r="427" spans="1:7" x14ac:dyDescent="0.25">
      <c r="A427" t="s">
        <v>275</v>
      </c>
      <c r="B427" s="615">
        <v>3</v>
      </c>
      <c r="C427" t="s">
        <v>1831</v>
      </c>
      <c r="D427" t="s">
        <v>1925</v>
      </c>
      <c r="E427" s="615">
        <f ca="1">VLOOKUP(A427,Data!C:I,7,FALSE)</f>
        <v>0</v>
      </c>
      <c r="F427" s="709" t="str">
        <f t="shared" si="36"/>
        <v>RS.IM-13</v>
      </c>
      <c r="G427" s="709" t="str">
        <f t="shared" ca="1" si="37"/>
        <v>RS.IM-130</v>
      </c>
    </row>
    <row r="428" spans="1:7" x14ac:dyDescent="0.25">
      <c r="A428" t="s">
        <v>275</v>
      </c>
      <c r="B428" s="615">
        <v>3</v>
      </c>
      <c r="C428" t="s">
        <v>1831</v>
      </c>
      <c r="D428" t="s">
        <v>1926</v>
      </c>
      <c r="E428" s="615">
        <f ca="1">VLOOKUP(A428,Data!C:I,7,FALSE)</f>
        <v>0</v>
      </c>
      <c r="F428" s="709" t="str">
        <f t="shared" si="36"/>
        <v>RS.IM-23</v>
      </c>
      <c r="G428" s="709" t="str">
        <f t="shared" ca="1" si="37"/>
        <v>RS.IM-230</v>
      </c>
    </row>
    <row r="429" spans="1:7" x14ac:dyDescent="0.25">
      <c r="A429" t="s">
        <v>276</v>
      </c>
      <c r="B429" s="615">
        <v>3</v>
      </c>
      <c r="C429" t="s">
        <v>1829</v>
      </c>
      <c r="D429" t="s">
        <v>1897</v>
      </c>
      <c r="E429" s="615">
        <f ca="1">VLOOKUP(A429,Data!C:I,7,FALSE)</f>
        <v>0</v>
      </c>
      <c r="F429" s="709" t="str">
        <f t="shared" si="36"/>
        <v>PR.IP-93</v>
      </c>
      <c r="G429" s="709" t="str">
        <f t="shared" ca="1" si="37"/>
        <v>PR.IP-930</v>
      </c>
    </row>
    <row r="430" spans="1:7" x14ac:dyDescent="0.25">
      <c r="A430" t="s">
        <v>276</v>
      </c>
      <c r="B430" s="615">
        <v>3</v>
      </c>
      <c r="C430" t="s">
        <v>1832</v>
      </c>
      <c r="D430" t="s">
        <v>1917</v>
      </c>
      <c r="E430" s="615">
        <f ca="1">VLOOKUP(A430,Data!C:I,7,FALSE)</f>
        <v>0</v>
      </c>
      <c r="F430" s="709" t="str">
        <f t="shared" si="36"/>
        <v>RC.CO-33</v>
      </c>
      <c r="G430" s="709" t="str">
        <f t="shared" ca="1" si="37"/>
        <v>RC.CO-330</v>
      </c>
    </row>
    <row r="431" spans="1:7" x14ac:dyDescent="0.25">
      <c r="A431" t="s">
        <v>276</v>
      </c>
      <c r="B431" s="615">
        <v>3</v>
      </c>
      <c r="C431" t="s">
        <v>1832</v>
      </c>
      <c r="D431" t="s">
        <v>1918</v>
      </c>
      <c r="E431" s="615">
        <f ca="1">VLOOKUP(A431,Data!C:I,7,FALSE)</f>
        <v>0</v>
      </c>
      <c r="F431" s="709" t="str">
        <f t="shared" si="36"/>
        <v>RC.RP-13</v>
      </c>
      <c r="G431" s="709" t="str">
        <f t="shared" ca="1" si="37"/>
        <v>RC.RP-130</v>
      </c>
    </row>
    <row r="432" spans="1:7" x14ac:dyDescent="0.25">
      <c r="A432" t="s">
        <v>276</v>
      </c>
      <c r="B432" s="615">
        <v>3</v>
      </c>
      <c r="C432" t="s">
        <v>1831</v>
      </c>
      <c r="D432" t="s">
        <v>1927</v>
      </c>
      <c r="E432" s="615">
        <f ca="1">VLOOKUP(A432,Data!C:I,7,FALSE)</f>
        <v>0</v>
      </c>
      <c r="F432" s="709" t="str">
        <f t="shared" si="36"/>
        <v>RS.AN-33</v>
      </c>
      <c r="G432" s="709" t="str">
        <f t="shared" ca="1" si="37"/>
        <v>RS.AN-330</v>
      </c>
    </row>
    <row r="433" spans="1:7" x14ac:dyDescent="0.25">
      <c r="A433" t="s">
        <v>276</v>
      </c>
      <c r="B433" s="615">
        <v>3</v>
      </c>
      <c r="C433" t="s">
        <v>1831</v>
      </c>
      <c r="D433" t="s">
        <v>1903</v>
      </c>
      <c r="E433" s="615">
        <f ca="1">VLOOKUP(A433,Data!C:I,7,FALSE)</f>
        <v>0</v>
      </c>
      <c r="F433" s="709" t="str">
        <f t="shared" si="36"/>
        <v>RS.CO-33</v>
      </c>
      <c r="G433" s="709" t="str">
        <f t="shared" ca="1" si="37"/>
        <v>RS.CO-330</v>
      </c>
    </row>
    <row r="434" spans="1:7" x14ac:dyDescent="0.25">
      <c r="A434" t="s">
        <v>276</v>
      </c>
      <c r="B434" s="615">
        <v>3</v>
      </c>
      <c r="C434" t="s">
        <v>1831</v>
      </c>
      <c r="D434" t="s">
        <v>1898</v>
      </c>
      <c r="E434" s="615">
        <f ca="1">VLOOKUP(A434,Data!C:I,7,FALSE)</f>
        <v>0</v>
      </c>
      <c r="F434" s="709" t="str">
        <f t="shared" si="36"/>
        <v>RS.RP-13</v>
      </c>
      <c r="G434" s="709" t="str">
        <f t="shared" ca="1" si="37"/>
        <v>RS.RP-130</v>
      </c>
    </row>
    <row r="435" spans="1:7" x14ac:dyDescent="0.25">
      <c r="A435" t="s">
        <v>278</v>
      </c>
      <c r="B435" s="615">
        <v>3</v>
      </c>
      <c r="C435" t="s">
        <v>1830</v>
      </c>
      <c r="D435" t="s">
        <v>1916</v>
      </c>
      <c r="E435" s="615">
        <f ca="1">VLOOKUP(A435,Data!C:I,7,FALSE)</f>
        <v>0</v>
      </c>
      <c r="F435" s="709" t="str">
        <f t="shared" si="36"/>
        <v>DE.DP-33</v>
      </c>
      <c r="G435" s="709" t="str">
        <f t="shared" ca="1" si="37"/>
        <v>DE.DP-330</v>
      </c>
    </row>
    <row r="436" spans="1:7" x14ac:dyDescent="0.25">
      <c r="A436" t="s">
        <v>278</v>
      </c>
      <c r="B436" s="615">
        <v>3</v>
      </c>
      <c r="C436" t="s">
        <v>507</v>
      </c>
      <c r="D436" t="s">
        <v>1900</v>
      </c>
      <c r="E436" s="615">
        <f ca="1">VLOOKUP(A436,Data!C:I,7,FALSE)</f>
        <v>0</v>
      </c>
      <c r="F436" s="709" t="str">
        <f t="shared" si="36"/>
        <v>ID.SC-53</v>
      </c>
      <c r="G436" s="709" t="str">
        <f t="shared" ca="1" si="37"/>
        <v>ID.SC-530</v>
      </c>
    </row>
    <row r="437" spans="1:7" x14ac:dyDescent="0.25">
      <c r="A437" t="s">
        <v>278</v>
      </c>
      <c r="B437" s="615">
        <v>3</v>
      </c>
      <c r="C437" t="s">
        <v>1829</v>
      </c>
      <c r="D437" t="s">
        <v>1897</v>
      </c>
      <c r="E437" s="615">
        <f ca="1">VLOOKUP(A437,Data!C:I,7,FALSE)</f>
        <v>0</v>
      </c>
      <c r="F437" s="709" t="str">
        <f t="shared" si="36"/>
        <v>PR.IP-93</v>
      </c>
      <c r="G437" s="709" t="str">
        <f t="shared" ca="1" si="37"/>
        <v>PR.IP-930</v>
      </c>
    </row>
    <row r="438" spans="1:7" x14ac:dyDescent="0.25">
      <c r="A438" t="s">
        <v>1060</v>
      </c>
      <c r="B438" s="615">
        <v>3</v>
      </c>
      <c r="C438" t="s">
        <v>1829</v>
      </c>
      <c r="D438" t="s">
        <v>1897</v>
      </c>
      <c r="E438" s="615">
        <f ca="1">VLOOKUP(A438,Data!C:I,7,FALSE)</f>
        <v>0</v>
      </c>
      <c r="F438" s="709" t="str">
        <f t="shared" si="36"/>
        <v>PR.IP-93</v>
      </c>
      <c r="G438" s="709" t="str">
        <f t="shared" ca="1" si="37"/>
        <v>PR.IP-930</v>
      </c>
    </row>
    <row r="439" spans="1:7" x14ac:dyDescent="0.25">
      <c r="A439" t="s">
        <v>1060</v>
      </c>
      <c r="B439" s="615">
        <v>3</v>
      </c>
      <c r="C439" t="s">
        <v>1832</v>
      </c>
      <c r="D439" t="s">
        <v>1918</v>
      </c>
      <c r="E439" s="615">
        <f ca="1">VLOOKUP(A439,Data!C:I,7,FALSE)</f>
        <v>0</v>
      </c>
      <c r="F439" s="709" t="str">
        <f t="shared" si="36"/>
        <v>RC.RP-13</v>
      </c>
      <c r="G439" s="709" t="str">
        <f t="shared" ca="1" si="37"/>
        <v>RC.RP-130</v>
      </c>
    </row>
    <row r="440" spans="1:7" x14ac:dyDescent="0.25">
      <c r="A440" t="s">
        <v>1060</v>
      </c>
      <c r="B440" s="615">
        <v>3</v>
      </c>
      <c r="C440" t="s">
        <v>1831</v>
      </c>
      <c r="D440" t="s">
        <v>1913</v>
      </c>
      <c r="E440" s="615">
        <f ca="1">VLOOKUP(A440,Data!C:I,7,FALSE)</f>
        <v>0</v>
      </c>
      <c r="F440" s="709" t="str">
        <f t="shared" si="36"/>
        <v>RS.AN-43</v>
      </c>
      <c r="G440" s="709" t="str">
        <f t="shared" ca="1" si="37"/>
        <v>RS.AN-430</v>
      </c>
    </row>
    <row r="441" spans="1:7" x14ac:dyDescent="0.25">
      <c r="A441" t="s">
        <v>1060</v>
      </c>
      <c r="B441" s="615">
        <v>3</v>
      </c>
      <c r="C441" t="s">
        <v>1831</v>
      </c>
      <c r="D441" t="s">
        <v>1898</v>
      </c>
      <c r="E441" s="615">
        <f ca="1">VLOOKUP(A441,Data!C:I,7,FALSE)</f>
        <v>0</v>
      </c>
      <c r="F441" s="709" t="str">
        <f t="shared" si="36"/>
        <v>RS.RP-13</v>
      </c>
      <c r="G441" s="709" t="str">
        <f t="shared" ca="1" si="37"/>
        <v>RS.RP-130</v>
      </c>
    </row>
    <row r="442" spans="1:7" x14ac:dyDescent="0.25">
      <c r="A442" t="s">
        <v>280</v>
      </c>
      <c r="B442" s="615">
        <v>1</v>
      </c>
      <c r="C442" t="s">
        <v>507</v>
      </c>
      <c r="D442" t="s">
        <v>1896</v>
      </c>
      <c r="E442" s="615">
        <f ca="1">VLOOKUP(A442,Data!C:I,7,FALSE)</f>
        <v>0</v>
      </c>
      <c r="F442" s="709" t="str">
        <f t="shared" si="36"/>
        <v>ID.BE-51</v>
      </c>
      <c r="G442" s="709" t="str">
        <f t="shared" ca="1" si="37"/>
        <v>ID.BE-510</v>
      </c>
    </row>
    <row r="443" spans="1:7" x14ac:dyDescent="0.25">
      <c r="A443" t="s">
        <v>280</v>
      </c>
      <c r="B443" s="615">
        <v>1</v>
      </c>
      <c r="C443" t="s">
        <v>1829</v>
      </c>
      <c r="D443" t="s">
        <v>1897</v>
      </c>
      <c r="E443" s="615">
        <f ca="1">VLOOKUP(A443,Data!C:I,7,FALSE)</f>
        <v>0</v>
      </c>
      <c r="F443" s="709" t="str">
        <f t="shared" si="36"/>
        <v>PR.IP-91</v>
      </c>
      <c r="G443" s="709" t="str">
        <f t="shared" ca="1" si="37"/>
        <v>PR.IP-910</v>
      </c>
    </row>
    <row r="444" spans="1:7" x14ac:dyDescent="0.25">
      <c r="A444" t="s">
        <v>281</v>
      </c>
      <c r="B444" s="615">
        <v>1</v>
      </c>
      <c r="C444" t="s">
        <v>1829</v>
      </c>
      <c r="D444" t="s">
        <v>1928</v>
      </c>
      <c r="E444" s="615">
        <f ca="1">VLOOKUP(A444,Data!C:I,7,FALSE)</f>
        <v>0</v>
      </c>
      <c r="F444" s="709" t="str">
        <f t="shared" si="36"/>
        <v>PR.IP-41</v>
      </c>
      <c r="G444" s="709" t="str">
        <f t="shared" ca="1" si="37"/>
        <v>PR.IP-410</v>
      </c>
    </row>
    <row r="445" spans="1:7" x14ac:dyDescent="0.25">
      <c r="A445" t="s">
        <v>282</v>
      </c>
      <c r="B445" s="615">
        <v>1</v>
      </c>
      <c r="C445" t="s">
        <v>507</v>
      </c>
      <c r="D445" t="s">
        <v>1896</v>
      </c>
      <c r="E445" s="615">
        <f ca="1">VLOOKUP(A445,Data!C:I,7,FALSE)</f>
        <v>0</v>
      </c>
      <c r="F445" s="709" t="str">
        <f t="shared" si="36"/>
        <v>ID.BE-51</v>
      </c>
      <c r="G445" s="709" t="str">
        <f t="shared" ca="1" si="37"/>
        <v>ID.BE-510</v>
      </c>
    </row>
    <row r="446" spans="1:7" x14ac:dyDescent="0.25">
      <c r="A446" t="s">
        <v>282</v>
      </c>
      <c r="B446" s="615">
        <v>1</v>
      </c>
      <c r="C446" t="s">
        <v>1829</v>
      </c>
      <c r="D446" t="s">
        <v>1862</v>
      </c>
      <c r="E446" s="615">
        <f ca="1">VLOOKUP(A446,Data!C:I,7,FALSE)</f>
        <v>0</v>
      </c>
      <c r="F446" s="709" t="str">
        <f t="shared" si="36"/>
        <v>PR.DS-41</v>
      </c>
      <c r="G446" s="709" t="str">
        <f t="shared" ca="1" si="37"/>
        <v>PR.DS-410</v>
      </c>
    </row>
    <row r="447" spans="1:7" x14ac:dyDescent="0.25">
      <c r="A447" t="s">
        <v>283</v>
      </c>
      <c r="B447" s="615">
        <v>2</v>
      </c>
      <c r="C447" t="s">
        <v>1829</v>
      </c>
      <c r="D447" t="s">
        <v>1897</v>
      </c>
      <c r="E447" s="615">
        <f ca="1">VLOOKUP(A447,Data!C:I,7,FALSE)</f>
        <v>0</v>
      </c>
      <c r="F447" s="709" t="str">
        <f t="shared" si="36"/>
        <v>PR.IP-92</v>
      </c>
      <c r="G447" s="709" t="str">
        <f t="shared" ca="1" si="37"/>
        <v>PR.IP-920</v>
      </c>
    </row>
    <row r="448" spans="1:7" x14ac:dyDescent="0.25">
      <c r="A448" t="s">
        <v>284</v>
      </c>
      <c r="B448" s="615">
        <v>2</v>
      </c>
      <c r="C448" t="s">
        <v>507</v>
      </c>
      <c r="D448" t="s">
        <v>1896</v>
      </c>
      <c r="E448" s="615">
        <f ca="1">VLOOKUP(A448,Data!C:I,7,FALSE)</f>
        <v>0</v>
      </c>
      <c r="F448" s="709" t="str">
        <f t="shared" si="36"/>
        <v>ID.BE-52</v>
      </c>
      <c r="G448" s="709" t="str">
        <f t="shared" ca="1" si="37"/>
        <v>ID.BE-520</v>
      </c>
    </row>
    <row r="449" spans="1:7" x14ac:dyDescent="0.25">
      <c r="A449" t="s">
        <v>284</v>
      </c>
      <c r="B449" s="615">
        <v>2</v>
      </c>
      <c r="C449" t="s">
        <v>1829</v>
      </c>
      <c r="D449" t="s">
        <v>1928</v>
      </c>
      <c r="E449" s="615">
        <f ca="1">VLOOKUP(A449,Data!C:I,7,FALSE)</f>
        <v>0</v>
      </c>
      <c r="F449" s="709" t="str">
        <f t="shared" si="36"/>
        <v>PR.IP-42</v>
      </c>
      <c r="G449" s="709" t="str">
        <f t="shared" ca="1" si="37"/>
        <v>PR.IP-420</v>
      </c>
    </row>
    <row r="450" spans="1:7" x14ac:dyDescent="0.25">
      <c r="A450" t="s">
        <v>284</v>
      </c>
      <c r="B450" s="615">
        <v>2</v>
      </c>
      <c r="C450" t="s">
        <v>1829</v>
      </c>
      <c r="D450" t="s">
        <v>1897</v>
      </c>
      <c r="E450" s="615">
        <f ca="1">VLOOKUP(A450,Data!C:I,7,FALSE)</f>
        <v>0</v>
      </c>
      <c r="F450" s="709" t="str">
        <f t="shared" si="36"/>
        <v>PR.IP-92</v>
      </c>
      <c r="G450" s="709" t="str">
        <f t="shared" ca="1" si="37"/>
        <v>PR.IP-920</v>
      </c>
    </row>
    <row r="451" spans="1:7" x14ac:dyDescent="0.25">
      <c r="A451" t="s">
        <v>285</v>
      </c>
      <c r="B451" s="615">
        <v>2</v>
      </c>
      <c r="C451" t="s">
        <v>507</v>
      </c>
      <c r="D451" t="s">
        <v>1896</v>
      </c>
      <c r="E451" s="615">
        <f ca="1">VLOOKUP(A451,Data!C:I,7,FALSE)</f>
        <v>0</v>
      </c>
      <c r="F451" s="709" t="str">
        <f t="shared" ref="F451:F514" si="38">CONCATENATE($D451,$B451)</f>
        <v>ID.BE-52</v>
      </c>
      <c r="G451" s="709" t="str">
        <f t="shared" ref="G451:G514" ca="1" si="39">_xlfn.IFNA(CONCATENATE(F451,$E451),CONCATENATE(F451,$E451,0))</f>
        <v>ID.BE-520</v>
      </c>
    </row>
    <row r="452" spans="1:7" x14ac:dyDescent="0.25">
      <c r="A452" t="s">
        <v>285</v>
      </c>
      <c r="B452" s="615">
        <v>2</v>
      </c>
      <c r="C452" t="s">
        <v>1829</v>
      </c>
      <c r="D452" t="s">
        <v>1928</v>
      </c>
      <c r="E452" s="615">
        <f ca="1">VLOOKUP(A452,Data!C:I,7,FALSE)</f>
        <v>0</v>
      </c>
      <c r="F452" s="709" t="str">
        <f t="shared" si="38"/>
        <v>PR.IP-42</v>
      </c>
      <c r="G452" s="709" t="str">
        <f t="shared" ca="1" si="39"/>
        <v>PR.IP-420</v>
      </c>
    </row>
    <row r="453" spans="1:7" x14ac:dyDescent="0.25">
      <c r="A453" t="s">
        <v>285</v>
      </c>
      <c r="B453" s="615">
        <v>2</v>
      </c>
      <c r="C453" t="s">
        <v>1829</v>
      </c>
      <c r="D453" t="s">
        <v>1897</v>
      </c>
      <c r="E453" s="615">
        <f ca="1">VLOOKUP(A453,Data!C:I,7,FALSE)</f>
        <v>0</v>
      </c>
      <c r="F453" s="709" t="str">
        <f t="shared" si="38"/>
        <v>PR.IP-92</v>
      </c>
      <c r="G453" s="709" t="str">
        <f t="shared" ca="1" si="39"/>
        <v>PR.IP-920</v>
      </c>
    </row>
    <row r="454" spans="1:7" x14ac:dyDescent="0.25">
      <c r="A454" t="s">
        <v>286</v>
      </c>
      <c r="B454" s="615">
        <v>2</v>
      </c>
      <c r="C454" t="s">
        <v>507</v>
      </c>
      <c r="D454" t="s">
        <v>1900</v>
      </c>
      <c r="E454" s="615">
        <f ca="1">VLOOKUP(A454,Data!C:I,7,FALSE)</f>
        <v>0</v>
      </c>
      <c r="F454" s="709" t="str">
        <f t="shared" si="38"/>
        <v>ID.SC-52</v>
      </c>
      <c r="G454" s="709" t="str">
        <f t="shared" ca="1" si="39"/>
        <v>ID.SC-520</v>
      </c>
    </row>
    <row r="455" spans="1:7" x14ac:dyDescent="0.25">
      <c r="A455" t="s">
        <v>286</v>
      </c>
      <c r="B455" s="615">
        <v>2</v>
      </c>
      <c r="C455" t="s">
        <v>1829</v>
      </c>
      <c r="D455" t="s">
        <v>1922</v>
      </c>
      <c r="E455" s="615">
        <f ca="1">VLOOKUP(A455,Data!C:I,7,FALSE)</f>
        <v>0</v>
      </c>
      <c r="F455" s="709" t="str">
        <f t="shared" si="38"/>
        <v>PR.IP-102</v>
      </c>
      <c r="G455" s="709" t="str">
        <f t="shared" ca="1" si="39"/>
        <v>PR.IP-1020</v>
      </c>
    </row>
    <row r="456" spans="1:7" x14ac:dyDescent="0.25">
      <c r="A456" t="s">
        <v>286</v>
      </c>
      <c r="B456" s="615">
        <v>2</v>
      </c>
      <c r="C456" t="s">
        <v>1829</v>
      </c>
      <c r="D456" t="s">
        <v>1897</v>
      </c>
      <c r="E456" s="615">
        <f ca="1">VLOOKUP(A456,Data!C:I,7,FALSE)</f>
        <v>0</v>
      </c>
      <c r="F456" s="709" t="str">
        <f t="shared" si="38"/>
        <v>PR.IP-92</v>
      </c>
      <c r="G456" s="709" t="str">
        <f t="shared" ca="1" si="39"/>
        <v>PR.IP-920</v>
      </c>
    </row>
    <row r="457" spans="1:7" x14ac:dyDescent="0.25">
      <c r="A457" t="s">
        <v>1061</v>
      </c>
      <c r="B457" s="615">
        <v>2</v>
      </c>
      <c r="C457" t="s">
        <v>1829</v>
      </c>
      <c r="D457" t="s">
        <v>1928</v>
      </c>
      <c r="E457" s="615">
        <f ca="1">VLOOKUP(A457,Data!C:I,7,FALSE)</f>
        <v>0</v>
      </c>
      <c r="F457" s="709" t="str">
        <f t="shared" si="38"/>
        <v>PR.IP-42</v>
      </c>
      <c r="G457" s="709" t="str">
        <f t="shared" ca="1" si="39"/>
        <v>PR.IP-420</v>
      </c>
    </row>
    <row r="458" spans="1:7" x14ac:dyDescent="0.25">
      <c r="A458" t="s">
        <v>1062</v>
      </c>
      <c r="B458" s="615">
        <v>2</v>
      </c>
      <c r="C458" t="s">
        <v>1829</v>
      </c>
      <c r="D458" t="s">
        <v>1928</v>
      </c>
      <c r="E458" s="615">
        <f ca="1">VLOOKUP(A458,Data!C:I,7,FALSE)</f>
        <v>0</v>
      </c>
      <c r="F458" s="709" t="str">
        <f t="shared" si="38"/>
        <v>PR.IP-42</v>
      </c>
      <c r="G458" s="709" t="str">
        <f t="shared" ca="1" si="39"/>
        <v>PR.IP-420</v>
      </c>
    </row>
    <row r="459" spans="1:7" x14ac:dyDescent="0.25">
      <c r="A459" t="s">
        <v>1063</v>
      </c>
      <c r="B459" s="615">
        <v>2</v>
      </c>
      <c r="C459" t="s">
        <v>507</v>
      </c>
      <c r="D459" t="s">
        <v>1896</v>
      </c>
      <c r="E459" s="615">
        <f ca="1">VLOOKUP(A459,Data!C:I,7,FALSE)</f>
        <v>0</v>
      </c>
      <c r="F459" s="709" t="str">
        <f t="shared" si="38"/>
        <v>ID.BE-52</v>
      </c>
      <c r="G459" s="709" t="str">
        <f t="shared" ca="1" si="39"/>
        <v>ID.BE-520</v>
      </c>
    </row>
    <row r="460" spans="1:7" x14ac:dyDescent="0.25">
      <c r="A460" t="s">
        <v>1063</v>
      </c>
      <c r="B460" s="615">
        <v>2</v>
      </c>
      <c r="C460" t="s">
        <v>1829</v>
      </c>
      <c r="D460" t="s">
        <v>1862</v>
      </c>
      <c r="E460" s="615">
        <f ca="1">VLOOKUP(A460,Data!C:I,7,FALSE)</f>
        <v>0</v>
      </c>
      <c r="F460" s="709" t="str">
        <f t="shared" si="38"/>
        <v>PR.DS-42</v>
      </c>
      <c r="G460" s="709" t="str">
        <f t="shared" ca="1" si="39"/>
        <v>PR.DS-420</v>
      </c>
    </row>
    <row r="461" spans="1:7" x14ac:dyDescent="0.25">
      <c r="A461" t="s">
        <v>1063</v>
      </c>
      <c r="B461" s="615">
        <v>2</v>
      </c>
      <c r="C461" t="s">
        <v>1829</v>
      </c>
      <c r="D461" t="s">
        <v>1864</v>
      </c>
      <c r="E461" s="615">
        <f ca="1">VLOOKUP(A461,Data!C:I,7,FALSE)</f>
        <v>0</v>
      </c>
      <c r="F461" s="709" t="str">
        <f t="shared" si="38"/>
        <v>PR.PT-52</v>
      </c>
      <c r="G461" s="709" t="str">
        <f t="shared" ca="1" si="39"/>
        <v>PR.PT-520</v>
      </c>
    </row>
    <row r="462" spans="1:7" x14ac:dyDescent="0.25">
      <c r="A462" t="s">
        <v>1064</v>
      </c>
      <c r="B462" s="615">
        <v>2</v>
      </c>
      <c r="C462" t="s">
        <v>507</v>
      </c>
      <c r="D462" t="s">
        <v>1896</v>
      </c>
      <c r="E462" s="615">
        <f ca="1">VLOOKUP(A462,Data!C:I,7,FALSE)</f>
        <v>0</v>
      </c>
      <c r="F462" s="709" t="str">
        <f t="shared" si="38"/>
        <v>ID.BE-52</v>
      </c>
      <c r="G462" s="709" t="str">
        <f t="shared" ca="1" si="39"/>
        <v>ID.BE-520</v>
      </c>
    </row>
    <row r="463" spans="1:7" x14ac:dyDescent="0.25">
      <c r="A463" t="s">
        <v>1064</v>
      </c>
      <c r="B463" s="615">
        <v>2</v>
      </c>
      <c r="C463" t="s">
        <v>1829</v>
      </c>
      <c r="D463" t="s">
        <v>1897</v>
      </c>
      <c r="E463" s="615">
        <f ca="1">VLOOKUP(A463,Data!C:I,7,FALSE)</f>
        <v>0</v>
      </c>
      <c r="F463" s="709" t="str">
        <f t="shared" si="38"/>
        <v>PR.IP-92</v>
      </c>
      <c r="G463" s="709" t="str">
        <f t="shared" ca="1" si="39"/>
        <v>PR.IP-920</v>
      </c>
    </row>
    <row r="464" spans="1:7" x14ac:dyDescent="0.25">
      <c r="A464" t="s">
        <v>1065</v>
      </c>
      <c r="B464" s="615">
        <v>2</v>
      </c>
      <c r="C464" t="s">
        <v>1829</v>
      </c>
      <c r="D464" t="s">
        <v>1897</v>
      </c>
      <c r="E464" s="615">
        <f ca="1">VLOOKUP(A464,Data!C:I,7,FALSE)</f>
        <v>0</v>
      </c>
      <c r="F464" s="709" t="str">
        <f t="shared" si="38"/>
        <v>PR.IP-92</v>
      </c>
      <c r="G464" s="709" t="str">
        <f t="shared" ca="1" si="39"/>
        <v>PR.IP-920</v>
      </c>
    </row>
    <row r="465" spans="1:7" x14ac:dyDescent="0.25">
      <c r="A465" t="s">
        <v>1065</v>
      </c>
      <c r="B465" s="615">
        <v>2</v>
      </c>
      <c r="C465" t="s">
        <v>1832</v>
      </c>
      <c r="D465" t="s">
        <v>1917</v>
      </c>
      <c r="E465" s="615">
        <f ca="1">VLOOKUP(A465,Data!C:I,7,FALSE)</f>
        <v>0</v>
      </c>
      <c r="F465" s="709" t="str">
        <f t="shared" si="38"/>
        <v>RC.CO-32</v>
      </c>
      <c r="G465" s="709" t="str">
        <f t="shared" ca="1" si="39"/>
        <v>RC.CO-320</v>
      </c>
    </row>
    <row r="466" spans="1:7" x14ac:dyDescent="0.25">
      <c r="A466" t="s">
        <v>1065</v>
      </c>
      <c r="B466" s="615">
        <v>2</v>
      </c>
      <c r="C466" t="s">
        <v>1832</v>
      </c>
      <c r="D466" t="s">
        <v>1918</v>
      </c>
      <c r="E466" s="615">
        <f ca="1">VLOOKUP(A466,Data!C:I,7,FALSE)</f>
        <v>0</v>
      </c>
      <c r="F466" s="709" t="str">
        <f t="shared" si="38"/>
        <v>RC.RP-12</v>
      </c>
      <c r="G466" s="709" t="str">
        <f t="shared" ca="1" si="39"/>
        <v>RC.RP-120</v>
      </c>
    </row>
    <row r="467" spans="1:7" x14ac:dyDescent="0.25">
      <c r="A467" t="s">
        <v>1066</v>
      </c>
      <c r="B467" s="615">
        <v>3</v>
      </c>
      <c r="C467" t="s">
        <v>507</v>
      </c>
      <c r="D467" t="s">
        <v>1896</v>
      </c>
      <c r="E467" s="615">
        <f ca="1">VLOOKUP(A467,Data!C:I,7,FALSE)</f>
        <v>0</v>
      </c>
      <c r="F467" s="709" t="str">
        <f t="shared" si="38"/>
        <v>ID.BE-53</v>
      </c>
      <c r="G467" s="709" t="str">
        <f t="shared" ca="1" si="39"/>
        <v>ID.BE-530</v>
      </c>
    </row>
    <row r="468" spans="1:7" x14ac:dyDescent="0.25">
      <c r="A468" t="s">
        <v>1066</v>
      </c>
      <c r="B468" s="615">
        <v>3</v>
      </c>
      <c r="C468" t="s">
        <v>1829</v>
      </c>
      <c r="D468" t="s">
        <v>1897</v>
      </c>
      <c r="E468" s="615">
        <f ca="1">VLOOKUP(A468,Data!C:I,7,FALSE)</f>
        <v>0</v>
      </c>
      <c r="F468" s="709" t="str">
        <f t="shared" si="38"/>
        <v>PR.IP-93</v>
      </c>
      <c r="G468" s="709" t="str">
        <f t="shared" ca="1" si="39"/>
        <v>PR.IP-930</v>
      </c>
    </row>
    <row r="469" spans="1:7" x14ac:dyDescent="0.25">
      <c r="A469" t="s">
        <v>1067</v>
      </c>
      <c r="B469" s="615">
        <v>3</v>
      </c>
      <c r="C469" t="s">
        <v>1829</v>
      </c>
      <c r="D469" t="s">
        <v>1922</v>
      </c>
      <c r="E469" s="615">
        <f ca="1">VLOOKUP(A469,Data!C:I,7,FALSE)</f>
        <v>0</v>
      </c>
      <c r="F469" s="709" t="str">
        <f t="shared" si="38"/>
        <v>PR.IP-103</v>
      </c>
      <c r="G469" s="709" t="str">
        <f t="shared" ca="1" si="39"/>
        <v>PR.IP-1030</v>
      </c>
    </row>
    <row r="470" spans="1:7" x14ac:dyDescent="0.25">
      <c r="A470" t="s">
        <v>1067</v>
      </c>
      <c r="B470" s="615">
        <v>3</v>
      </c>
      <c r="C470" t="s">
        <v>1829</v>
      </c>
      <c r="D470" t="s">
        <v>1897</v>
      </c>
      <c r="E470" s="615">
        <f ca="1">VLOOKUP(A470,Data!C:I,7,FALSE)</f>
        <v>0</v>
      </c>
      <c r="F470" s="709" t="str">
        <f t="shared" si="38"/>
        <v>PR.IP-93</v>
      </c>
      <c r="G470" s="709" t="str">
        <f t="shared" ca="1" si="39"/>
        <v>PR.IP-930</v>
      </c>
    </row>
    <row r="471" spans="1:7" x14ac:dyDescent="0.25">
      <c r="A471" t="s">
        <v>1068</v>
      </c>
      <c r="B471" s="615">
        <v>3</v>
      </c>
      <c r="C471" t="s">
        <v>1829</v>
      </c>
      <c r="D471" t="s">
        <v>1922</v>
      </c>
      <c r="E471" s="615">
        <f ca="1">VLOOKUP(A471,Data!C:I,7,FALSE)</f>
        <v>0</v>
      </c>
      <c r="F471" s="709" t="str">
        <f t="shared" si="38"/>
        <v>PR.IP-103</v>
      </c>
      <c r="G471" s="709" t="str">
        <f t="shared" ca="1" si="39"/>
        <v>PR.IP-1030</v>
      </c>
    </row>
    <row r="472" spans="1:7" x14ac:dyDescent="0.25">
      <c r="A472" t="s">
        <v>1068</v>
      </c>
      <c r="B472" s="615">
        <v>3</v>
      </c>
      <c r="C472" t="s">
        <v>1829</v>
      </c>
      <c r="D472" t="s">
        <v>1897</v>
      </c>
      <c r="E472" s="615">
        <f ca="1">VLOOKUP(A472,Data!C:I,7,FALSE)</f>
        <v>0</v>
      </c>
      <c r="F472" s="709" t="str">
        <f t="shared" si="38"/>
        <v>PR.IP-93</v>
      </c>
      <c r="G472" s="709" t="str">
        <f t="shared" ca="1" si="39"/>
        <v>PR.IP-930</v>
      </c>
    </row>
    <row r="473" spans="1:7" x14ac:dyDescent="0.25">
      <c r="A473" t="s">
        <v>1068</v>
      </c>
      <c r="B473" s="615">
        <v>3</v>
      </c>
      <c r="C473" t="s">
        <v>1832</v>
      </c>
      <c r="D473" t="s">
        <v>1923</v>
      </c>
      <c r="E473" s="615">
        <f ca="1">VLOOKUP(A473,Data!C:I,7,FALSE)</f>
        <v>0</v>
      </c>
      <c r="F473" s="709" t="str">
        <f t="shared" si="38"/>
        <v>RC.IM-13</v>
      </c>
      <c r="G473" s="709" t="str">
        <f t="shared" ca="1" si="39"/>
        <v>RC.IM-130</v>
      </c>
    </row>
    <row r="474" spans="1:7" x14ac:dyDescent="0.25">
      <c r="A474" t="s">
        <v>1068</v>
      </c>
      <c r="B474" s="615">
        <v>3</v>
      </c>
      <c r="C474" t="s">
        <v>1832</v>
      </c>
      <c r="D474" t="s">
        <v>1924</v>
      </c>
      <c r="E474" s="615">
        <f ca="1">VLOOKUP(A474,Data!C:I,7,FALSE)</f>
        <v>0</v>
      </c>
      <c r="F474" s="709" t="str">
        <f t="shared" si="38"/>
        <v>RC.IM-23</v>
      </c>
      <c r="G474" s="709" t="str">
        <f t="shared" ca="1" si="39"/>
        <v>RC.IM-230</v>
      </c>
    </row>
    <row r="475" spans="1:7" x14ac:dyDescent="0.25">
      <c r="A475" t="s">
        <v>1068</v>
      </c>
      <c r="B475" s="615">
        <v>3</v>
      </c>
      <c r="C475" t="s">
        <v>1832</v>
      </c>
      <c r="D475" t="s">
        <v>1918</v>
      </c>
      <c r="E475" s="615">
        <f ca="1">VLOOKUP(A475,Data!C:I,7,FALSE)</f>
        <v>0</v>
      </c>
      <c r="F475" s="709" t="str">
        <f t="shared" si="38"/>
        <v>RC.RP-13</v>
      </c>
      <c r="G475" s="709" t="str">
        <f t="shared" ca="1" si="39"/>
        <v>RC.RP-130</v>
      </c>
    </row>
    <row r="476" spans="1:7" x14ac:dyDescent="0.25">
      <c r="A476" t="s">
        <v>1069</v>
      </c>
      <c r="B476" s="615">
        <v>3</v>
      </c>
      <c r="C476" t="s">
        <v>1829</v>
      </c>
      <c r="D476" t="s">
        <v>1922</v>
      </c>
      <c r="E476" s="615">
        <f ca="1">VLOOKUP(A476,Data!C:I,7,FALSE)</f>
        <v>0</v>
      </c>
      <c r="F476" s="709" t="str">
        <f t="shared" si="38"/>
        <v>PR.IP-103</v>
      </c>
      <c r="G476" s="709" t="str">
        <f t="shared" ca="1" si="39"/>
        <v>PR.IP-1030</v>
      </c>
    </row>
    <row r="477" spans="1:7" x14ac:dyDescent="0.25">
      <c r="A477" t="s">
        <v>1069</v>
      </c>
      <c r="B477" s="615">
        <v>3</v>
      </c>
      <c r="C477" t="s">
        <v>1829</v>
      </c>
      <c r="D477" t="s">
        <v>1897</v>
      </c>
      <c r="E477" s="615">
        <f ca="1">VLOOKUP(A477,Data!C:I,7,FALSE)</f>
        <v>0</v>
      </c>
      <c r="F477" s="709" t="str">
        <f t="shared" si="38"/>
        <v>PR.IP-93</v>
      </c>
      <c r="G477" s="709" t="str">
        <f t="shared" ca="1" si="39"/>
        <v>PR.IP-930</v>
      </c>
    </row>
    <row r="478" spans="1:7" x14ac:dyDescent="0.25">
      <c r="A478" t="s">
        <v>1069</v>
      </c>
      <c r="B478" s="615">
        <v>3</v>
      </c>
      <c r="C478" t="s">
        <v>1832</v>
      </c>
      <c r="D478" t="s">
        <v>1923</v>
      </c>
      <c r="E478" s="615">
        <f ca="1">VLOOKUP(A478,Data!C:I,7,FALSE)</f>
        <v>0</v>
      </c>
      <c r="F478" s="709" t="str">
        <f t="shared" si="38"/>
        <v>RC.IM-13</v>
      </c>
      <c r="G478" s="709" t="str">
        <f t="shared" ca="1" si="39"/>
        <v>RC.IM-130</v>
      </c>
    </row>
    <row r="479" spans="1:7" x14ac:dyDescent="0.25">
      <c r="A479" t="s">
        <v>1069</v>
      </c>
      <c r="B479" s="615">
        <v>3</v>
      </c>
      <c r="C479" t="s">
        <v>1832</v>
      </c>
      <c r="D479" t="s">
        <v>1924</v>
      </c>
      <c r="E479" s="615">
        <f ca="1">VLOOKUP(A479,Data!C:I,7,FALSE)</f>
        <v>0</v>
      </c>
      <c r="F479" s="709" t="str">
        <f t="shared" si="38"/>
        <v>RC.IM-23</v>
      </c>
      <c r="G479" s="709" t="str">
        <f t="shared" ca="1" si="39"/>
        <v>RC.IM-230</v>
      </c>
    </row>
    <row r="480" spans="1:7" x14ac:dyDescent="0.25">
      <c r="A480" t="s">
        <v>1070</v>
      </c>
      <c r="B480" s="615">
        <v>3</v>
      </c>
      <c r="C480" t="s">
        <v>1829</v>
      </c>
      <c r="D480" t="s">
        <v>1922</v>
      </c>
      <c r="E480" s="615">
        <f ca="1">VLOOKUP(A480,Data!C:I,7,FALSE)</f>
        <v>0</v>
      </c>
      <c r="F480" s="709" t="str">
        <f t="shared" si="38"/>
        <v>PR.IP-103</v>
      </c>
      <c r="G480" s="709" t="str">
        <f t="shared" ca="1" si="39"/>
        <v>PR.IP-1030</v>
      </c>
    </row>
    <row r="481" spans="1:7" x14ac:dyDescent="0.25">
      <c r="A481" t="s">
        <v>1070</v>
      </c>
      <c r="B481" s="615">
        <v>3</v>
      </c>
      <c r="C481" t="s">
        <v>1829</v>
      </c>
      <c r="D481" t="s">
        <v>1897</v>
      </c>
      <c r="E481" s="615">
        <f ca="1">VLOOKUP(A481,Data!C:I,7,FALSE)</f>
        <v>0</v>
      </c>
      <c r="F481" s="709" t="str">
        <f t="shared" si="38"/>
        <v>PR.IP-93</v>
      </c>
      <c r="G481" s="709" t="str">
        <f t="shared" ca="1" si="39"/>
        <v>PR.IP-930</v>
      </c>
    </row>
    <row r="482" spans="1:7" x14ac:dyDescent="0.25">
      <c r="A482" t="s">
        <v>1070</v>
      </c>
      <c r="B482" s="615">
        <v>3</v>
      </c>
      <c r="C482" t="s">
        <v>1832</v>
      </c>
      <c r="D482" t="s">
        <v>1924</v>
      </c>
      <c r="E482" s="615">
        <f ca="1">VLOOKUP(A482,Data!C:I,7,FALSE)</f>
        <v>0</v>
      </c>
      <c r="F482" s="709" t="str">
        <f t="shared" si="38"/>
        <v>RC.IM-23</v>
      </c>
      <c r="G482" s="709" t="str">
        <f t="shared" ca="1" si="39"/>
        <v>RC.IM-230</v>
      </c>
    </row>
    <row r="483" spans="1:7" x14ac:dyDescent="0.25">
      <c r="A483" t="s">
        <v>1071</v>
      </c>
      <c r="B483" s="615">
        <v>2</v>
      </c>
      <c r="C483" t="s">
        <v>1830</v>
      </c>
      <c r="D483" t="s">
        <v>1908</v>
      </c>
      <c r="E483" s="615">
        <f ca="1">VLOOKUP(A483,Data!C:I,7,FALSE)</f>
        <v>0</v>
      </c>
      <c r="F483" s="709" t="str">
        <f t="shared" si="38"/>
        <v>DE.DP-22</v>
      </c>
      <c r="G483" s="709" t="str">
        <f t="shared" ca="1" si="39"/>
        <v>DE.DP-220</v>
      </c>
    </row>
    <row r="484" spans="1:7" x14ac:dyDescent="0.25">
      <c r="A484" t="s">
        <v>1071</v>
      </c>
      <c r="B484" s="615">
        <v>2</v>
      </c>
      <c r="C484" t="s">
        <v>1829</v>
      </c>
      <c r="D484" t="s">
        <v>1897</v>
      </c>
      <c r="E484" s="615">
        <f ca="1">VLOOKUP(A484,Data!C:I,7,FALSE)</f>
        <v>0</v>
      </c>
      <c r="F484" s="709" t="str">
        <f t="shared" si="38"/>
        <v>PR.IP-92</v>
      </c>
      <c r="G484" s="709" t="str">
        <f t="shared" ca="1" si="39"/>
        <v>PR.IP-920</v>
      </c>
    </row>
    <row r="485" spans="1:7" x14ac:dyDescent="0.25">
      <c r="A485" t="s">
        <v>1072</v>
      </c>
      <c r="B485" s="615">
        <v>2</v>
      </c>
      <c r="C485" t="s">
        <v>1829</v>
      </c>
      <c r="D485" t="s">
        <v>1897</v>
      </c>
      <c r="E485" s="615">
        <f ca="1">VLOOKUP(A485,Data!C:I,7,FALSE)</f>
        <v>0</v>
      </c>
      <c r="F485" s="709" t="str">
        <f t="shared" si="38"/>
        <v>PR.IP-92</v>
      </c>
      <c r="G485" s="709" t="str">
        <f t="shared" ca="1" si="39"/>
        <v>PR.IP-920</v>
      </c>
    </row>
    <row r="486" spans="1:7" x14ac:dyDescent="0.25">
      <c r="A486" t="s">
        <v>1073</v>
      </c>
      <c r="B486" s="615">
        <v>3</v>
      </c>
      <c r="C486" t="s">
        <v>1829</v>
      </c>
      <c r="D486" t="s">
        <v>1897</v>
      </c>
      <c r="E486" s="615">
        <f ca="1">VLOOKUP(A486,Data!C:I,7,FALSE)</f>
        <v>0</v>
      </c>
      <c r="F486" s="709" t="str">
        <f t="shared" si="38"/>
        <v>PR.IP-93</v>
      </c>
      <c r="G486" s="709" t="str">
        <f t="shared" ca="1" si="39"/>
        <v>PR.IP-930</v>
      </c>
    </row>
    <row r="487" spans="1:7" x14ac:dyDescent="0.25">
      <c r="A487" t="s">
        <v>1074</v>
      </c>
      <c r="B487" s="615">
        <v>3</v>
      </c>
      <c r="C487" t="s">
        <v>1829</v>
      </c>
      <c r="D487" t="s">
        <v>1897</v>
      </c>
      <c r="E487" s="615">
        <f ca="1">VLOOKUP(A487,Data!C:I,7,FALSE)</f>
        <v>0</v>
      </c>
      <c r="F487" s="709" t="str">
        <f t="shared" si="38"/>
        <v>PR.IP-93</v>
      </c>
      <c r="G487" s="709" t="str">
        <f t="shared" ca="1" si="39"/>
        <v>PR.IP-930</v>
      </c>
    </row>
    <row r="488" spans="1:7" x14ac:dyDescent="0.25">
      <c r="A488" t="s">
        <v>1075</v>
      </c>
      <c r="B488" s="615">
        <v>3</v>
      </c>
      <c r="C488" t="s">
        <v>507</v>
      </c>
      <c r="D488" t="s">
        <v>1857</v>
      </c>
      <c r="E488" s="615">
        <f ca="1">VLOOKUP(A488,Data!C:I,7,FALSE)</f>
        <v>0</v>
      </c>
      <c r="F488" s="709" t="str">
        <f t="shared" si="38"/>
        <v>ID.AM-63</v>
      </c>
      <c r="G488" s="709" t="str">
        <f t="shared" ca="1" si="39"/>
        <v>ID.AM-630</v>
      </c>
    </row>
    <row r="489" spans="1:7" x14ac:dyDescent="0.25">
      <c r="A489" t="s">
        <v>1075</v>
      </c>
      <c r="B489" s="615">
        <v>3</v>
      </c>
      <c r="C489" t="s">
        <v>507</v>
      </c>
      <c r="D489" t="s">
        <v>1858</v>
      </c>
      <c r="E489" s="615">
        <f ca="1">VLOOKUP(A489,Data!C:I,7,FALSE)</f>
        <v>0</v>
      </c>
      <c r="F489" s="709" t="str">
        <f t="shared" si="38"/>
        <v>ID.GV-23</v>
      </c>
      <c r="G489" s="709" t="str">
        <f t="shared" ca="1" si="39"/>
        <v>ID.GV-230</v>
      </c>
    </row>
    <row r="490" spans="1:7" x14ac:dyDescent="0.25">
      <c r="A490" t="s">
        <v>1075</v>
      </c>
      <c r="B490" s="615">
        <v>3</v>
      </c>
      <c r="C490" t="s">
        <v>1829</v>
      </c>
      <c r="D490" t="s">
        <v>1897</v>
      </c>
      <c r="E490" s="615">
        <f ca="1">VLOOKUP(A490,Data!C:I,7,FALSE)</f>
        <v>0</v>
      </c>
      <c r="F490" s="709" t="str">
        <f t="shared" si="38"/>
        <v>PR.IP-93</v>
      </c>
      <c r="G490" s="709" t="str">
        <f t="shared" ca="1" si="39"/>
        <v>PR.IP-930</v>
      </c>
    </row>
    <row r="491" spans="1:7" x14ac:dyDescent="0.25">
      <c r="A491" t="s">
        <v>1076</v>
      </c>
      <c r="B491" s="615">
        <v>3</v>
      </c>
      <c r="C491" t="s">
        <v>1829</v>
      </c>
      <c r="D491" t="s">
        <v>1859</v>
      </c>
      <c r="E491" s="615">
        <f ca="1">VLOOKUP(A491,Data!C:I,7,FALSE)</f>
        <v>0</v>
      </c>
      <c r="F491" s="709" t="str">
        <f t="shared" si="38"/>
        <v>PR.IP-83</v>
      </c>
      <c r="G491" s="709" t="str">
        <f t="shared" ca="1" si="39"/>
        <v>PR.IP-830</v>
      </c>
    </row>
    <row r="492" spans="1:7" x14ac:dyDescent="0.25">
      <c r="A492" t="s">
        <v>41</v>
      </c>
      <c r="B492" s="615">
        <v>1</v>
      </c>
      <c r="C492" t="s">
        <v>507</v>
      </c>
      <c r="D492" t="s">
        <v>1894</v>
      </c>
      <c r="E492" s="615">
        <f ca="1">VLOOKUP(A492,Data!C:I,7,FALSE)</f>
        <v>0</v>
      </c>
      <c r="F492" s="709" t="str">
        <f t="shared" si="38"/>
        <v>ID.GV-41</v>
      </c>
      <c r="G492" s="709" t="str">
        <f t="shared" ca="1" si="39"/>
        <v>ID.GV-410</v>
      </c>
    </row>
    <row r="493" spans="1:7" x14ac:dyDescent="0.25">
      <c r="A493" t="s">
        <v>41</v>
      </c>
      <c r="B493" s="615">
        <v>1</v>
      </c>
      <c r="C493" t="s">
        <v>507</v>
      </c>
      <c r="D493" t="s">
        <v>1895</v>
      </c>
      <c r="E493" s="615">
        <f ca="1">VLOOKUP(A493,Data!C:I,7,FALSE)</f>
        <v>0</v>
      </c>
      <c r="F493" s="709" t="str">
        <f t="shared" si="38"/>
        <v>ID.RM-11</v>
      </c>
      <c r="G493" s="709" t="str">
        <f t="shared" ca="1" si="39"/>
        <v>ID.RM-110</v>
      </c>
    </row>
    <row r="494" spans="1:7" x14ac:dyDescent="0.25">
      <c r="A494" t="s">
        <v>42</v>
      </c>
      <c r="B494" s="615">
        <v>2</v>
      </c>
      <c r="C494" t="s">
        <v>507</v>
      </c>
      <c r="D494" t="s">
        <v>1894</v>
      </c>
      <c r="E494" s="615">
        <f ca="1">VLOOKUP(A494,Data!C:I,7,FALSE)</f>
        <v>0</v>
      </c>
      <c r="F494" s="709" t="str">
        <f t="shared" si="38"/>
        <v>ID.GV-42</v>
      </c>
      <c r="G494" s="709" t="str">
        <f t="shared" ca="1" si="39"/>
        <v>ID.GV-420</v>
      </c>
    </row>
    <row r="495" spans="1:7" x14ac:dyDescent="0.25">
      <c r="A495" t="s">
        <v>42</v>
      </c>
      <c r="B495" s="615">
        <v>2</v>
      </c>
      <c r="C495" t="s">
        <v>507</v>
      </c>
      <c r="D495" t="s">
        <v>1895</v>
      </c>
      <c r="E495" s="615">
        <f ca="1">VLOOKUP(A495,Data!C:I,7,FALSE)</f>
        <v>0</v>
      </c>
      <c r="F495" s="709" t="str">
        <f t="shared" si="38"/>
        <v>ID.RM-12</v>
      </c>
      <c r="G495" s="709" t="str">
        <f t="shared" ca="1" si="39"/>
        <v>ID.RM-120</v>
      </c>
    </row>
    <row r="496" spans="1:7" x14ac:dyDescent="0.25">
      <c r="A496" t="s">
        <v>43</v>
      </c>
      <c r="B496" s="615">
        <v>2</v>
      </c>
      <c r="C496" t="s">
        <v>507</v>
      </c>
      <c r="D496" t="s">
        <v>1894</v>
      </c>
      <c r="E496" s="615">
        <f ca="1">VLOOKUP(A496,Data!C:I,7,FALSE)</f>
        <v>0</v>
      </c>
      <c r="F496" s="709" t="str">
        <f t="shared" si="38"/>
        <v>ID.GV-42</v>
      </c>
      <c r="G496" s="709" t="str">
        <f t="shared" ca="1" si="39"/>
        <v>ID.GV-420</v>
      </c>
    </row>
    <row r="497" spans="1:7" x14ac:dyDescent="0.25">
      <c r="A497" t="s">
        <v>43</v>
      </c>
      <c r="B497" s="615">
        <v>2</v>
      </c>
      <c r="C497" t="s">
        <v>507</v>
      </c>
      <c r="D497" t="s">
        <v>1895</v>
      </c>
      <c r="E497" s="615">
        <f ca="1">VLOOKUP(A497,Data!C:I,7,FALSE)</f>
        <v>0</v>
      </c>
      <c r="F497" s="709" t="str">
        <f t="shared" si="38"/>
        <v>ID.RM-12</v>
      </c>
      <c r="G497" s="709" t="str">
        <f t="shared" ca="1" si="39"/>
        <v>ID.RM-120</v>
      </c>
    </row>
    <row r="498" spans="1:7" x14ac:dyDescent="0.25">
      <c r="A498" t="s">
        <v>45</v>
      </c>
      <c r="B498" s="615">
        <v>2</v>
      </c>
      <c r="C498" t="s">
        <v>507</v>
      </c>
      <c r="D498" t="s">
        <v>1894</v>
      </c>
      <c r="E498" s="615">
        <f ca="1">VLOOKUP(A498,Data!C:I,7,FALSE)</f>
        <v>0</v>
      </c>
      <c r="F498" s="709" t="str">
        <f t="shared" si="38"/>
        <v>ID.GV-42</v>
      </c>
      <c r="G498" s="709" t="str">
        <f t="shared" ca="1" si="39"/>
        <v>ID.GV-420</v>
      </c>
    </row>
    <row r="499" spans="1:7" x14ac:dyDescent="0.25">
      <c r="A499" t="s">
        <v>47</v>
      </c>
      <c r="B499" s="615">
        <v>3</v>
      </c>
      <c r="C499" t="s">
        <v>507</v>
      </c>
      <c r="D499" t="s">
        <v>1892</v>
      </c>
      <c r="E499" s="615">
        <f ca="1">VLOOKUP(A499,Data!C:I,7,FALSE)</f>
        <v>0</v>
      </c>
      <c r="F499" s="709" t="str">
        <f t="shared" si="38"/>
        <v>ID.BE-33</v>
      </c>
      <c r="G499" s="709" t="str">
        <f t="shared" ca="1" si="39"/>
        <v>ID.BE-330</v>
      </c>
    </row>
    <row r="500" spans="1:7" x14ac:dyDescent="0.25">
      <c r="A500" t="s">
        <v>47</v>
      </c>
      <c r="B500" s="615">
        <v>3</v>
      </c>
      <c r="C500" t="s">
        <v>507</v>
      </c>
      <c r="D500" t="s">
        <v>1894</v>
      </c>
      <c r="E500" s="615">
        <f ca="1">VLOOKUP(A500,Data!C:I,7,FALSE)</f>
        <v>0</v>
      </c>
      <c r="F500" s="709" t="str">
        <f t="shared" si="38"/>
        <v>ID.GV-43</v>
      </c>
      <c r="G500" s="709" t="str">
        <f t="shared" ca="1" si="39"/>
        <v>ID.GV-430</v>
      </c>
    </row>
    <row r="501" spans="1:7" x14ac:dyDescent="0.25">
      <c r="A501" t="s">
        <v>47</v>
      </c>
      <c r="B501" s="615">
        <v>3</v>
      </c>
      <c r="C501" t="s">
        <v>507</v>
      </c>
      <c r="D501" t="s">
        <v>1895</v>
      </c>
      <c r="E501" s="615">
        <f ca="1">VLOOKUP(A501,Data!C:I,7,FALSE)</f>
        <v>0</v>
      </c>
      <c r="F501" s="709" t="str">
        <f t="shared" si="38"/>
        <v>ID.RM-13</v>
      </c>
      <c r="G501" s="709" t="str">
        <f t="shared" ca="1" si="39"/>
        <v>ID.RM-130</v>
      </c>
    </row>
    <row r="502" spans="1:7" x14ac:dyDescent="0.25">
      <c r="A502" t="s">
        <v>49</v>
      </c>
      <c r="B502" s="615">
        <v>3</v>
      </c>
      <c r="C502" t="s">
        <v>507</v>
      </c>
      <c r="D502" t="s">
        <v>1892</v>
      </c>
      <c r="E502" s="615">
        <f ca="1">VLOOKUP(A502,Data!C:I,7,FALSE)</f>
        <v>0</v>
      </c>
      <c r="F502" s="709" t="str">
        <f t="shared" si="38"/>
        <v>ID.BE-33</v>
      </c>
      <c r="G502" s="709" t="str">
        <f t="shared" ca="1" si="39"/>
        <v>ID.BE-330</v>
      </c>
    </row>
    <row r="503" spans="1:7" x14ac:dyDescent="0.25">
      <c r="A503" t="s">
        <v>49</v>
      </c>
      <c r="B503" s="615">
        <v>3</v>
      </c>
      <c r="C503" t="s">
        <v>507</v>
      </c>
      <c r="D503" t="s">
        <v>1894</v>
      </c>
      <c r="E503" s="615">
        <f ca="1">VLOOKUP(A503,Data!C:I,7,FALSE)</f>
        <v>0</v>
      </c>
      <c r="F503" s="709" t="str">
        <f t="shared" si="38"/>
        <v>ID.GV-43</v>
      </c>
      <c r="G503" s="709" t="str">
        <f t="shared" ca="1" si="39"/>
        <v>ID.GV-430</v>
      </c>
    </row>
    <row r="504" spans="1:7" x14ac:dyDescent="0.25">
      <c r="A504" t="s">
        <v>49</v>
      </c>
      <c r="B504" s="615">
        <v>3</v>
      </c>
      <c r="C504" t="s">
        <v>507</v>
      </c>
      <c r="D504" t="s">
        <v>1895</v>
      </c>
      <c r="E504" s="615">
        <f ca="1">VLOOKUP(A504,Data!C:I,7,FALSE)</f>
        <v>0</v>
      </c>
      <c r="F504" s="709" t="str">
        <f t="shared" si="38"/>
        <v>ID.RM-13</v>
      </c>
      <c r="G504" s="709" t="str">
        <f t="shared" ca="1" si="39"/>
        <v>ID.RM-130</v>
      </c>
    </row>
    <row r="505" spans="1:7" x14ac:dyDescent="0.25">
      <c r="A505" t="s">
        <v>60</v>
      </c>
      <c r="B505" s="615">
        <v>1</v>
      </c>
      <c r="C505" t="s">
        <v>507</v>
      </c>
      <c r="D505" t="s">
        <v>1894</v>
      </c>
      <c r="E505" s="615">
        <f ca="1">VLOOKUP(A505,Data!C:I,7,FALSE)</f>
        <v>0</v>
      </c>
      <c r="F505" s="709" t="str">
        <f t="shared" si="38"/>
        <v>ID.GV-41</v>
      </c>
      <c r="G505" s="709" t="str">
        <f t="shared" ca="1" si="39"/>
        <v>ID.GV-410</v>
      </c>
    </row>
    <row r="506" spans="1:7" x14ac:dyDescent="0.25">
      <c r="A506" t="s">
        <v>60</v>
      </c>
      <c r="B506" s="615">
        <v>1</v>
      </c>
      <c r="C506" t="s">
        <v>507</v>
      </c>
      <c r="D506" t="s">
        <v>1895</v>
      </c>
      <c r="E506" s="615">
        <f ca="1">VLOOKUP(A506,Data!C:I,7,FALSE)</f>
        <v>0</v>
      </c>
      <c r="F506" s="709" t="str">
        <f t="shared" si="38"/>
        <v>ID.RM-11</v>
      </c>
      <c r="G506" s="709" t="str">
        <f t="shared" ca="1" si="39"/>
        <v>ID.RM-110</v>
      </c>
    </row>
    <row r="507" spans="1:7" x14ac:dyDescent="0.25">
      <c r="A507" t="s">
        <v>62</v>
      </c>
      <c r="B507" s="615">
        <v>2</v>
      </c>
      <c r="C507" t="s">
        <v>507</v>
      </c>
      <c r="D507" t="s">
        <v>1894</v>
      </c>
      <c r="E507" s="615">
        <f ca="1">VLOOKUP(A507,Data!C:I,7,FALSE)</f>
        <v>0</v>
      </c>
      <c r="F507" s="709" t="str">
        <f t="shared" si="38"/>
        <v>ID.GV-42</v>
      </c>
      <c r="G507" s="709" t="str">
        <f t="shared" ca="1" si="39"/>
        <v>ID.GV-420</v>
      </c>
    </row>
    <row r="508" spans="1:7" x14ac:dyDescent="0.25">
      <c r="A508" t="s">
        <v>62</v>
      </c>
      <c r="B508" s="615">
        <v>2</v>
      </c>
      <c r="C508" t="s">
        <v>507</v>
      </c>
      <c r="D508" t="s">
        <v>1895</v>
      </c>
      <c r="E508" s="615">
        <f ca="1">VLOOKUP(A508,Data!C:I,7,FALSE)</f>
        <v>0</v>
      </c>
      <c r="F508" s="709" t="str">
        <f t="shared" si="38"/>
        <v>ID.RM-12</v>
      </c>
      <c r="G508" s="709" t="str">
        <f t="shared" ca="1" si="39"/>
        <v>ID.RM-120</v>
      </c>
    </row>
    <row r="509" spans="1:7" x14ac:dyDescent="0.25">
      <c r="A509" t="s">
        <v>64</v>
      </c>
      <c r="B509" s="615">
        <v>2</v>
      </c>
      <c r="C509" t="s">
        <v>507</v>
      </c>
      <c r="D509" t="s">
        <v>1894</v>
      </c>
      <c r="E509" s="615">
        <f ca="1">VLOOKUP(A509,Data!C:I,7,FALSE)</f>
        <v>0</v>
      </c>
      <c r="F509" s="709" t="str">
        <f t="shared" si="38"/>
        <v>ID.GV-42</v>
      </c>
      <c r="G509" s="709" t="str">
        <f t="shared" ca="1" si="39"/>
        <v>ID.GV-420</v>
      </c>
    </row>
    <row r="510" spans="1:7" x14ac:dyDescent="0.25">
      <c r="A510" t="s">
        <v>64</v>
      </c>
      <c r="B510" s="615">
        <v>2</v>
      </c>
      <c r="C510" t="s">
        <v>507</v>
      </c>
      <c r="D510" t="s">
        <v>1895</v>
      </c>
      <c r="E510" s="615">
        <f ca="1">VLOOKUP(A510,Data!C:I,7,FALSE)</f>
        <v>0</v>
      </c>
      <c r="F510" s="709" t="str">
        <f t="shared" si="38"/>
        <v>ID.RM-12</v>
      </c>
      <c r="G510" s="709" t="str">
        <f t="shared" ca="1" si="39"/>
        <v>ID.RM-120</v>
      </c>
    </row>
    <row r="511" spans="1:7" x14ac:dyDescent="0.25">
      <c r="A511" t="s">
        <v>67</v>
      </c>
      <c r="B511" s="615">
        <v>2</v>
      </c>
      <c r="C511" t="s">
        <v>507</v>
      </c>
      <c r="D511" t="s">
        <v>1894</v>
      </c>
      <c r="E511" s="615">
        <f ca="1">VLOOKUP(A511,Data!C:I,7,FALSE)</f>
        <v>0</v>
      </c>
      <c r="F511" s="709" t="str">
        <f t="shared" si="38"/>
        <v>ID.GV-42</v>
      </c>
      <c r="G511" s="709" t="str">
        <f t="shared" ca="1" si="39"/>
        <v>ID.GV-420</v>
      </c>
    </row>
    <row r="512" spans="1:7" x14ac:dyDescent="0.25">
      <c r="A512" t="s">
        <v>67</v>
      </c>
      <c r="B512" s="615">
        <v>2</v>
      </c>
      <c r="C512" t="s">
        <v>507</v>
      </c>
      <c r="D512" t="s">
        <v>1895</v>
      </c>
      <c r="E512" s="615">
        <f ca="1">VLOOKUP(A512,Data!C:I,7,FALSE)</f>
        <v>0</v>
      </c>
      <c r="F512" s="709" t="str">
        <f t="shared" si="38"/>
        <v>ID.RM-12</v>
      </c>
      <c r="G512" s="709" t="str">
        <f t="shared" ca="1" si="39"/>
        <v>ID.RM-120</v>
      </c>
    </row>
    <row r="513" spans="1:7" x14ac:dyDescent="0.25">
      <c r="A513" t="s">
        <v>70</v>
      </c>
      <c r="B513" s="615">
        <v>2</v>
      </c>
      <c r="C513" t="s">
        <v>507</v>
      </c>
      <c r="D513" t="s">
        <v>1894</v>
      </c>
      <c r="E513" s="615">
        <f ca="1">VLOOKUP(A513,Data!C:I,7,FALSE)</f>
        <v>0</v>
      </c>
      <c r="F513" s="709" t="str">
        <f t="shared" si="38"/>
        <v>ID.GV-42</v>
      </c>
      <c r="G513" s="709" t="str">
        <f t="shared" ca="1" si="39"/>
        <v>ID.GV-420</v>
      </c>
    </row>
    <row r="514" spans="1:7" x14ac:dyDescent="0.25">
      <c r="A514" t="s">
        <v>70</v>
      </c>
      <c r="B514" s="615">
        <v>2</v>
      </c>
      <c r="C514" t="s">
        <v>507</v>
      </c>
      <c r="D514" t="s">
        <v>1880</v>
      </c>
      <c r="E514" s="615">
        <f ca="1">VLOOKUP(A514,Data!C:I,7,FALSE)</f>
        <v>0</v>
      </c>
      <c r="F514" s="709" t="str">
        <f t="shared" si="38"/>
        <v>ID.RA-52</v>
      </c>
      <c r="G514" s="709" t="str">
        <f t="shared" ca="1" si="39"/>
        <v>ID.RA-520</v>
      </c>
    </row>
    <row r="515" spans="1:7" x14ac:dyDescent="0.25">
      <c r="A515" t="s">
        <v>70</v>
      </c>
      <c r="B515" s="615">
        <v>2</v>
      </c>
      <c r="C515" t="s">
        <v>507</v>
      </c>
      <c r="D515" t="s">
        <v>1895</v>
      </c>
      <c r="E515" s="615">
        <f ca="1">VLOOKUP(A515,Data!C:I,7,FALSE)</f>
        <v>0</v>
      </c>
      <c r="F515" s="709" t="str">
        <f t="shared" ref="F515:F578" si="40">CONCATENATE($D515,$B515)</f>
        <v>ID.RM-12</v>
      </c>
      <c r="G515" s="709" t="str">
        <f t="shared" ref="G515:G578" ca="1" si="41">_xlfn.IFNA(CONCATENATE(F515,$E515),CONCATENATE(F515,$E515,0))</f>
        <v>ID.RM-120</v>
      </c>
    </row>
    <row r="516" spans="1:7" x14ac:dyDescent="0.25">
      <c r="A516" t="s">
        <v>70</v>
      </c>
      <c r="B516" s="615">
        <v>2</v>
      </c>
      <c r="C516" t="s">
        <v>1831</v>
      </c>
      <c r="D516" t="s">
        <v>1929</v>
      </c>
      <c r="E516" s="615">
        <f ca="1">VLOOKUP(A516,Data!C:I,7,FALSE)</f>
        <v>0</v>
      </c>
      <c r="F516" s="709" t="str">
        <f t="shared" si="40"/>
        <v>RS.MI-32</v>
      </c>
      <c r="G516" s="709" t="str">
        <f t="shared" ca="1" si="41"/>
        <v>RS.MI-320</v>
      </c>
    </row>
    <row r="517" spans="1:7" x14ac:dyDescent="0.25">
      <c r="A517" t="s">
        <v>1031</v>
      </c>
      <c r="B517" s="615">
        <v>2</v>
      </c>
      <c r="C517" t="s">
        <v>507</v>
      </c>
      <c r="D517" t="s">
        <v>1894</v>
      </c>
      <c r="E517" s="615">
        <f ca="1">VLOOKUP(A517,Data!C:I,7,FALSE)</f>
        <v>0</v>
      </c>
      <c r="F517" s="709" t="str">
        <f t="shared" si="40"/>
        <v>ID.GV-42</v>
      </c>
      <c r="G517" s="709" t="str">
        <f t="shared" ca="1" si="41"/>
        <v>ID.GV-420</v>
      </c>
    </row>
    <row r="518" spans="1:7" x14ac:dyDescent="0.25">
      <c r="A518" t="s">
        <v>1031</v>
      </c>
      <c r="B518" s="615">
        <v>2</v>
      </c>
      <c r="C518" t="s">
        <v>507</v>
      </c>
      <c r="D518" t="s">
        <v>1895</v>
      </c>
      <c r="E518" s="615">
        <f ca="1">VLOOKUP(A518,Data!C:I,7,FALSE)</f>
        <v>0</v>
      </c>
      <c r="F518" s="709" t="str">
        <f t="shared" si="40"/>
        <v>ID.RM-12</v>
      </c>
      <c r="G518" s="709" t="str">
        <f t="shared" ca="1" si="41"/>
        <v>ID.RM-120</v>
      </c>
    </row>
    <row r="519" spans="1:7" x14ac:dyDescent="0.25">
      <c r="A519" t="s">
        <v>1032</v>
      </c>
      <c r="B519" s="615">
        <v>2</v>
      </c>
      <c r="C519" t="s">
        <v>507</v>
      </c>
      <c r="D519" t="s">
        <v>1894</v>
      </c>
      <c r="E519" s="615">
        <f ca="1">VLOOKUP(A519,Data!C:I,7,FALSE)</f>
        <v>0</v>
      </c>
      <c r="F519" s="709" t="str">
        <f t="shared" si="40"/>
        <v>ID.GV-42</v>
      </c>
      <c r="G519" s="709" t="str">
        <f t="shared" ca="1" si="41"/>
        <v>ID.GV-420</v>
      </c>
    </row>
    <row r="520" spans="1:7" x14ac:dyDescent="0.25">
      <c r="A520" t="s">
        <v>1032</v>
      </c>
      <c r="B520" s="615">
        <v>2</v>
      </c>
      <c r="C520" t="s">
        <v>507</v>
      </c>
      <c r="D520" t="s">
        <v>1895</v>
      </c>
      <c r="E520" s="615">
        <f ca="1">VLOOKUP(A520,Data!C:I,7,FALSE)</f>
        <v>0</v>
      </c>
      <c r="F520" s="709" t="str">
        <f t="shared" si="40"/>
        <v>ID.RM-12</v>
      </c>
      <c r="G520" s="709" t="str">
        <f t="shared" ca="1" si="41"/>
        <v>ID.RM-120</v>
      </c>
    </row>
    <row r="521" spans="1:7" x14ac:dyDescent="0.25">
      <c r="A521" t="s">
        <v>1033</v>
      </c>
      <c r="B521" s="615">
        <v>3</v>
      </c>
      <c r="C521" t="s">
        <v>507</v>
      </c>
      <c r="D521" t="s">
        <v>1878</v>
      </c>
      <c r="E521" s="615">
        <f ca="1">VLOOKUP(A521,Data!C:I,7,FALSE)</f>
        <v>0</v>
      </c>
      <c r="F521" s="709" t="str">
        <f t="shared" si="40"/>
        <v>ID.AM-53</v>
      </c>
      <c r="G521" s="709" t="str">
        <f t="shared" ca="1" si="41"/>
        <v>ID.AM-530</v>
      </c>
    </row>
    <row r="522" spans="1:7" x14ac:dyDescent="0.25">
      <c r="A522" t="s">
        <v>1033</v>
      </c>
      <c r="B522" s="615">
        <v>3</v>
      </c>
      <c r="C522" t="s">
        <v>507</v>
      </c>
      <c r="D522" t="s">
        <v>1894</v>
      </c>
      <c r="E522" s="615">
        <f ca="1">VLOOKUP(A522,Data!C:I,7,FALSE)</f>
        <v>0</v>
      </c>
      <c r="F522" s="709" t="str">
        <f t="shared" si="40"/>
        <v>ID.GV-43</v>
      </c>
      <c r="G522" s="709" t="str">
        <f t="shared" ca="1" si="41"/>
        <v>ID.GV-430</v>
      </c>
    </row>
    <row r="523" spans="1:7" x14ac:dyDescent="0.25">
      <c r="A523" t="s">
        <v>1033</v>
      </c>
      <c r="B523" s="615">
        <v>3</v>
      </c>
      <c r="C523" t="s">
        <v>507</v>
      </c>
      <c r="D523" t="s">
        <v>1895</v>
      </c>
      <c r="E523" s="615">
        <f ca="1">VLOOKUP(A523,Data!C:I,7,FALSE)</f>
        <v>0</v>
      </c>
      <c r="F523" s="709" t="str">
        <f t="shared" si="40"/>
        <v>ID.RM-13</v>
      </c>
      <c r="G523" s="709" t="str">
        <f t="shared" ca="1" si="41"/>
        <v>ID.RM-130</v>
      </c>
    </row>
    <row r="524" spans="1:7" x14ac:dyDescent="0.25">
      <c r="A524" t="s">
        <v>1034</v>
      </c>
      <c r="B524" s="615">
        <v>3</v>
      </c>
      <c r="C524" t="s">
        <v>507</v>
      </c>
      <c r="D524" t="s">
        <v>1894</v>
      </c>
      <c r="E524" s="615">
        <f ca="1">VLOOKUP(A524,Data!C:I,7,FALSE)</f>
        <v>0</v>
      </c>
      <c r="F524" s="709" t="str">
        <f t="shared" si="40"/>
        <v>ID.GV-43</v>
      </c>
      <c r="G524" s="709" t="str">
        <f t="shared" ca="1" si="41"/>
        <v>ID.GV-430</v>
      </c>
    </row>
    <row r="525" spans="1:7" x14ac:dyDescent="0.25">
      <c r="A525" t="s">
        <v>1034</v>
      </c>
      <c r="B525" s="615">
        <v>3</v>
      </c>
      <c r="C525" t="s">
        <v>507</v>
      </c>
      <c r="D525" t="s">
        <v>1880</v>
      </c>
      <c r="E525" s="615">
        <f ca="1">VLOOKUP(A525,Data!C:I,7,FALSE)</f>
        <v>0</v>
      </c>
      <c r="F525" s="709" t="str">
        <f t="shared" si="40"/>
        <v>ID.RA-53</v>
      </c>
      <c r="G525" s="709" t="str">
        <f t="shared" ca="1" si="41"/>
        <v>ID.RA-530</v>
      </c>
    </row>
    <row r="526" spans="1:7" x14ac:dyDescent="0.25">
      <c r="A526" t="s">
        <v>1034</v>
      </c>
      <c r="B526" s="615">
        <v>3</v>
      </c>
      <c r="C526" t="s">
        <v>507</v>
      </c>
      <c r="D526" t="s">
        <v>1895</v>
      </c>
      <c r="E526" s="615">
        <f ca="1">VLOOKUP(A526,Data!C:I,7,FALSE)</f>
        <v>0</v>
      </c>
      <c r="F526" s="709" t="str">
        <f t="shared" si="40"/>
        <v>ID.RM-13</v>
      </c>
      <c r="G526" s="709" t="str">
        <f t="shared" ca="1" si="41"/>
        <v>ID.RM-130</v>
      </c>
    </row>
    <row r="527" spans="1:7" x14ac:dyDescent="0.25">
      <c r="A527" t="s">
        <v>1034</v>
      </c>
      <c r="B527" s="615">
        <v>3</v>
      </c>
      <c r="C527" t="s">
        <v>1831</v>
      </c>
      <c r="D527" t="s">
        <v>1929</v>
      </c>
      <c r="E527" s="615">
        <f ca="1">VLOOKUP(A527,Data!C:I,7,FALSE)</f>
        <v>0</v>
      </c>
      <c r="F527" s="709" t="str">
        <f t="shared" si="40"/>
        <v>RS.MI-33</v>
      </c>
      <c r="G527" s="709" t="str">
        <f t="shared" ca="1" si="41"/>
        <v>RS.MI-330</v>
      </c>
    </row>
    <row r="528" spans="1:7" x14ac:dyDescent="0.25">
      <c r="A528" t="s">
        <v>1035</v>
      </c>
      <c r="B528" s="615">
        <v>3</v>
      </c>
      <c r="C528" t="s">
        <v>507</v>
      </c>
      <c r="D528" t="s">
        <v>1894</v>
      </c>
      <c r="E528" s="615">
        <f ca="1">VLOOKUP(A528,Data!C:I,7,FALSE)</f>
        <v>0</v>
      </c>
      <c r="F528" s="709" t="str">
        <f t="shared" si="40"/>
        <v>ID.GV-43</v>
      </c>
      <c r="G528" s="709" t="str">
        <f t="shared" ca="1" si="41"/>
        <v>ID.GV-430</v>
      </c>
    </row>
    <row r="529" spans="1:7" x14ac:dyDescent="0.25">
      <c r="A529" t="s">
        <v>1035</v>
      </c>
      <c r="B529" s="615">
        <v>3</v>
      </c>
      <c r="C529" t="s">
        <v>507</v>
      </c>
      <c r="D529" t="s">
        <v>1880</v>
      </c>
      <c r="E529" s="615">
        <f ca="1">VLOOKUP(A529,Data!C:I,7,FALSE)</f>
        <v>0</v>
      </c>
      <c r="F529" s="709" t="str">
        <f t="shared" si="40"/>
        <v>ID.RA-53</v>
      </c>
      <c r="G529" s="709" t="str">
        <f t="shared" ca="1" si="41"/>
        <v>ID.RA-530</v>
      </c>
    </row>
    <row r="530" spans="1:7" x14ac:dyDescent="0.25">
      <c r="A530" t="s">
        <v>1035</v>
      </c>
      <c r="B530" s="615">
        <v>3</v>
      </c>
      <c r="C530" t="s">
        <v>507</v>
      </c>
      <c r="D530" t="s">
        <v>1895</v>
      </c>
      <c r="E530" s="615">
        <f ca="1">VLOOKUP(A530,Data!C:I,7,FALSE)</f>
        <v>0</v>
      </c>
      <c r="F530" s="709" t="str">
        <f t="shared" si="40"/>
        <v>ID.RM-13</v>
      </c>
      <c r="G530" s="709" t="str">
        <f t="shared" ca="1" si="41"/>
        <v>ID.RM-130</v>
      </c>
    </row>
    <row r="531" spans="1:7" x14ac:dyDescent="0.25">
      <c r="A531" t="s">
        <v>1036</v>
      </c>
      <c r="B531" s="615">
        <v>3</v>
      </c>
      <c r="C531" t="s">
        <v>507</v>
      </c>
      <c r="D531" t="s">
        <v>1894</v>
      </c>
      <c r="E531" s="615">
        <f ca="1">VLOOKUP(A531,Data!C:I,7,FALSE)</f>
        <v>0</v>
      </c>
      <c r="F531" s="709" t="str">
        <f t="shared" si="40"/>
        <v>ID.GV-43</v>
      </c>
      <c r="G531" s="709" t="str">
        <f t="shared" ca="1" si="41"/>
        <v>ID.GV-430</v>
      </c>
    </row>
    <row r="532" spans="1:7" x14ac:dyDescent="0.25">
      <c r="A532" t="s">
        <v>1036</v>
      </c>
      <c r="B532" s="615">
        <v>3</v>
      </c>
      <c r="C532" t="s">
        <v>507</v>
      </c>
      <c r="D532" t="s">
        <v>1895</v>
      </c>
      <c r="E532" s="615">
        <f ca="1">VLOOKUP(A532,Data!C:I,7,FALSE)</f>
        <v>0</v>
      </c>
      <c r="F532" s="709" t="str">
        <f t="shared" si="40"/>
        <v>ID.RM-13</v>
      </c>
      <c r="G532" s="709" t="str">
        <f t="shared" ca="1" si="41"/>
        <v>ID.RM-130</v>
      </c>
    </row>
    <row r="533" spans="1:7" x14ac:dyDescent="0.25">
      <c r="A533" t="s">
        <v>1036</v>
      </c>
      <c r="B533" s="615">
        <v>3</v>
      </c>
      <c r="C533" t="s">
        <v>507</v>
      </c>
      <c r="D533" t="s">
        <v>1891</v>
      </c>
      <c r="E533" s="615">
        <f ca="1">VLOOKUP(A533,Data!C:I,7,FALSE)</f>
        <v>0</v>
      </c>
      <c r="F533" s="709" t="str">
        <f t="shared" si="40"/>
        <v>ID.SC-13</v>
      </c>
      <c r="G533" s="709" t="str">
        <f t="shared" ca="1" si="41"/>
        <v>ID.SC-130</v>
      </c>
    </row>
    <row r="534" spans="1:7" x14ac:dyDescent="0.25">
      <c r="A534" t="s">
        <v>1037</v>
      </c>
      <c r="B534" s="615">
        <v>3</v>
      </c>
      <c r="C534" t="s">
        <v>507</v>
      </c>
      <c r="D534" t="s">
        <v>1894</v>
      </c>
      <c r="E534" s="615">
        <f ca="1">VLOOKUP(A534,Data!C:I,7,FALSE)</f>
        <v>0</v>
      </c>
      <c r="F534" s="709" t="str">
        <f t="shared" si="40"/>
        <v>ID.GV-43</v>
      </c>
      <c r="G534" s="709" t="str">
        <f t="shared" ca="1" si="41"/>
        <v>ID.GV-430</v>
      </c>
    </row>
    <row r="535" spans="1:7" x14ac:dyDescent="0.25">
      <c r="A535" t="s">
        <v>1037</v>
      </c>
      <c r="B535" s="615">
        <v>3</v>
      </c>
      <c r="C535" t="s">
        <v>507</v>
      </c>
      <c r="D535" t="s">
        <v>1895</v>
      </c>
      <c r="E535" s="615">
        <f ca="1">VLOOKUP(A535,Data!C:I,7,FALSE)</f>
        <v>0</v>
      </c>
      <c r="F535" s="709" t="str">
        <f t="shared" si="40"/>
        <v>ID.RM-13</v>
      </c>
      <c r="G535" s="709" t="str">
        <f t="shared" ca="1" si="41"/>
        <v>ID.RM-130</v>
      </c>
    </row>
    <row r="536" spans="1:7" x14ac:dyDescent="0.25">
      <c r="A536" t="s">
        <v>1038</v>
      </c>
      <c r="B536" s="615">
        <v>3</v>
      </c>
      <c r="C536" t="s">
        <v>507</v>
      </c>
      <c r="D536" t="s">
        <v>1887</v>
      </c>
      <c r="E536" s="615">
        <f ca="1">VLOOKUP(A536,Data!C:I,7,FALSE)</f>
        <v>0</v>
      </c>
      <c r="F536" s="709" t="str">
        <f t="shared" si="40"/>
        <v>ID.BE-23</v>
      </c>
      <c r="G536" s="709" t="str">
        <f t="shared" ca="1" si="41"/>
        <v>ID.BE-230</v>
      </c>
    </row>
    <row r="537" spans="1:7" x14ac:dyDescent="0.25">
      <c r="A537" t="s">
        <v>1038</v>
      </c>
      <c r="B537" s="615">
        <v>3</v>
      </c>
      <c r="C537" t="s">
        <v>507</v>
      </c>
      <c r="D537" t="s">
        <v>1894</v>
      </c>
      <c r="E537" s="615">
        <f ca="1">VLOOKUP(A537,Data!C:I,7,FALSE)</f>
        <v>0</v>
      </c>
      <c r="F537" s="709" t="str">
        <f t="shared" si="40"/>
        <v>ID.GV-43</v>
      </c>
      <c r="G537" s="709" t="str">
        <f t="shared" ca="1" si="41"/>
        <v>ID.GV-430</v>
      </c>
    </row>
    <row r="538" spans="1:7" x14ac:dyDescent="0.25">
      <c r="A538" t="s">
        <v>1038</v>
      </c>
      <c r="B538" s="615">
        <v>3</v>
      </c>
      <c r="C538" t="s">
        <v>507</v>
      </c>
      <c r="D538" t="s">
        <v>1895</v>
      </c>
      <c r="E538" s="615">
        <f ca="1">VLOOKUP(A538,Data!C:I,7,FALSE)</f>
        <v>0</v>
      </c>
      <c r="F538" s="709" t="str">
        <f t="shared" si="40"/>
        <v>ID.RM-13</v>
      </c>
      <c r="G538" s="709" t="str">
        <f t="shared" ca="1" si="41"/>
        <v>ID.RM-130</v>
      </c>
    </row>
    <row r="539" spans="1:7" x14ac:dyDescent="0.25">
      <c r="A539" t="s">
        <v>72</v>
      </c>
      <c r="B539" s="615">
        <v>1</v>
      </c>
      <c r="C539" t="s">
        <v>507</v>
      </c>
      <c r="D539" t="s">
        <v>1894</v>
      </c>
      <c r="E539" s="615">
        <f ca="1">VLOOKUP(A539,Data!C:I,7,FALSE)</f>
        <v>0</v>
      </c>
      <c r="F539" s="709" t="str">
        <f t="shared" si="40"/>
        <v>ID.GV-41</v>
      </c>
      <c r="G539" s="709" t="str">
        <f t="shared" ca="1" si="41"/>
        <v>ID.GV-410</v>
      </c>
    </row>
    <row r="540" spans="1:7" x14ac:dyDescent="0.25">
      <c r="A540" t="s">
        <v>72</v>
      </c>
      <c r="B540" s="615">
        <v>1</v>
      </c>
      <c r="C540" t="s">
        <v>507</v>
      </c>
      <c r="D540" t="s">
        <v>1880</v>
      </c>
      <c r="E540" s="615">
        <f ca="1">VLOOKUP(A540,Data!C:I,7,FALSE)</f>
        <v>0</v>
      </c>
      <c r="F540" s="709" t="str">
        <f t="shared" si="40"/>
        <v>ID.RA-51</v>
      </c>
      <c r="G540" s="709" t="str">
        <f t="shared" ca="1" si="41"/>
        <v>ID.RA-510</v>
      </c>
    </row>
    <row r="541" spans="1:7" x14ac:dyDescent="0.25">
      <c r="A541" t="s">
        <v>72</v>
      </c>
      <c r="B541" s="615">
        <v>1</v>
      </c>
      <c r="C541" t="s">
        <v>507</v>
      </c>
      <c r="D541" t="s">
        <v>1895</v>
      </c>
      <c r="E541" s="615">
        <f ca="1">VLOOKUP(A541,Data!C:I,7,FALSE)</f>
        <v>0</v>
      </c>
      <c r="F541" s="709" t="str">
        <f t="shared" si="40"/>
        <v>ID.RM-11</v>
      </c>
      <c r="G541" s="709" t="str">
        <f t="shared" ca="1" si="41"/>
        <v>ID.RM-110</v>
      </c>
    </row>
    <row r="542" spans="1:7" x14ac:dyDescent="0.25">
      <c r="A542" t="s">
        <v>75</v>
      </c>
      <c r="B542" s="615">
        <v>2</v>
      </c>
      <c r="C542" t="s">
        <v>507</v>
      </c>
      <c r="D542" t="s">
        <v>1894</v>
      </c>
      <c r="E542" s="615">
        <f ca="1">VLOOKUP(A542,Data!C:I,7,FALSE)</f>
        <v>0</v>
      </c>
      <c r="F542" s="709" t="str">
        <f t="shared" si="40"/>
        <v>ID.GV-42</v>
      </c>
      <c r="G542" s="709" t="str">
        <f t="shared" ca="1" si="41"/>
        <v>ID.GV-420</v>
      </c>
    </row>
    <row r="543" spans="1:7" x14ac:dyDescent="0.25">
      <c r="A543" t="s">
        <v>75</v>
      </c>
      <c r="B543" s="615">
        <v>2</v>
      </c>
      <c r="C543" t="s">
        <v>507</v>
      </c>
      <c r="D543" t="s">
        <v>1880</v>
      </c>
      <c r="E543" s="615">
        <f ca="1">VLOOKUP(A543,Data!C:I,7,FALSE)</f>
        <v>0</v>
      </c>
      <c r="F543" s="709" t="str">
        <f t="shared" si="40"/>
        <v>ID.RA-52</v>
      </c>
      <c r="G543" s="709" t="str">
        <f t="shared" ca="1" si="41"/>
        <v>ID.RA-520</v>
      </c>
    </row>
    <row r="544" spans="1:7" x14ac:dyDescent="0.25">
      <c r="A544" t="s">
        <v>75</v>
      </c>
      <c r="B544" s="615">
        <v>2</v>
      </c>
      <c r="C544" t="s">
        <v>507</v>
      </c>
      <c r="D544" t="s">
        <v>1895</v>
      </c>
      <c r="E544" s="615">
        <f ca="1">VLOOKUP(A544,Data!C:I,7,FALSE)</f>
        <v>0</v>
      </c>
      <c r="F544" s="709" t="str">
        <f t="shared" si="40"/>
        <v>ID.RM-12</v>
      </c>
      <c r="G544" s="709" t="str">
        <f t="shared" ca="1" si="41"/>
        <v>ID.RM-120</v>
      </c>
    </row>
    <row r="545" spans="1:7" x14ac:dyDescent="0.25">
      <c r="A545" t="s">
        <v>78</v>
      </c>
      <c r="B545" s="615">
        <v>2</v>
      </c>
      <c r="C545" t="s">
        <v>507</v>
      </c>
      <c r="D545" t="s">
        <v>1894</v>
      </c>
      <c r="E545" s="615">
        <f ca="1">VLOOKUP(A545,Data!C:I,7,FALSE)</f>
        <v>0</v>
      </c>
      <c r="F545" s="709" t="str">
        <f t="shared" si="40"/>
        <v>ID.GV-42</v>
      </c>
      <c r="G545" s="709" t="str">
        <f t="shared" ca="1" si="41"/>
        <v>ID.GV-420</v>
      </c>
    </row>
    <row r="546" spans="1:7" x14ac:dyDescent="0.25">
      <c r="A546" t="s">
        <v>78</v>
      </c>
      <c r="B546" s="615">
        <v>2</v>
      </c>
      <c r="C546" t="s">
        <v>507</v>
      </c>
      <c r="D546" t="s">
        <v>1880</v>
      </c>
      <c r="E546" s="615">
        <f ca="1">VLOOKUP(A546,Data!C:I,7,FALSE)</f>
        <v>0</v>
      </c>
      <c r="F546" s="709" t="str">
        <f t="shared" si="40"/>
        <v>ID.RA-52</v>
      </c>
      <c r="G546" s="709" t="str">
        <f t="shared" ca="1" si="41"/>
        <v>ID.RA-520</v>
      </c>
    </row>
    <row r="547" spans="1:7" x14ac:dyDescent="0.25">
      <c r="A547" t="s">
        <v>78</v>
      </c>
      <c r="B547" s="615">
        <v>2</v>
      </c>
      <c r="C547" t="s">
        <v>507</v>
      </c>
      <c r="D547" t="s">
        <v>1895</v>
      </c>
      <c r="E547" s="615">
        <f ca="1">VLOOKUP(A547,Data!C:I,7,FALSE)</f>
        <v>0</v>
      </c>
      <c r="F547" s="709" t="str">
        <f t="shared" si="40"/>
        <v>ID.RM-12</v>
      </c>
      <c r="G547" s="709" t="str">
        <f t="shared" ca="1" si="41"/>
        <v>ID.RM-120</v>
      </c>
    </row>
    <row r="548" spans="1:7" x14ac:dyDescent="0.25">
      <c r="A548" t="s">
        <v>81</v>
      </c>
      <c r="B548" s="615">
        <v>2</v>
      </c>
      <c r="C548" t="s">
        <v>507</v>
      </c>
      <c r="D548" t="s">
        <v>1894</v>
      </c>
      <c r="E548" s="615">
        <f ca="1">VLOOKUP(A548,Data!C:I,7,FALSE)</f>
        <v>0</v>
      </c>
      <c r="F548" s="709" t="str">
        <f t="shared" si="40"/>
        <v>ID.GV-42</v>
      </c>
      <c r="G548" s="709" t="str">
        <f t="shared" ca="1" si="41"/>
        <v>ID.GV-420</v>
      </c>
    </row>
    <row r="549" spans="1:7" x14ac:dyDescent="0.25">
      <c r="A549" t="s">
        <v>81</v>
      </c>
      <c r="B549" s="615">
        <v>2</v>
      </c>
      <c r="C549" t="s">
        <v>507</v>
      </c>
      <c r="D549" t="s">
        <v>1880</v>
      </c>
      <c r="E549" s="615">
        <f ca="1">VLOOKUP(A549,Data!C:I,7,FALSE)</f>
        <v>0</v>
      </c>
      <c r="F549" s="709" t="str">
        <f t="shared" si="40"/>
        <v>ID.RA-52</v>
      </c>
      <c r="G549" s="709" t="str">
        <f t="shared" ca="1" si="41"/>
        <v>ID.RA-520</v>
      </c>
    </row>
    <row r="550" spans="1:7" x14ac:dyDescent="0.25">
      <c r="A550" t="s">
        <v>81</v>
      </c>
      <c r="B550" s="615">
        <v>2</v>
      </c>
      <c r="C550" t="s">
        <v>507</v>
      </c>
      <c r="D550" t="s">
        <v>1895</v>
      </c>
      <c r="E550" s="615">
        <f ca="1">VLOOKUP(A550,Data!C:I,7,FALSE)</f>
        <v>0</v>
      </c>
      <c r="F550" s="709" t="str">
        <f t="shared" si="40"/>
        <v>ID.RM-12</v>
      </c>
      <c r="G550" s="709" t="str">
        <f t="shared" ca="1" si="41"/>
        <v>ID.RM-120</v>
      </c>
    </row>
    <row r="551" spans="1:7" x14ac:dyDescent="0.25">
      <c r="A551" t="s">
        <v>83</v>
      </c>
      <c r="B551" s="615">
        <v>2</v>
      </c>
      <c r="C551" t="s">
        <v>507</v>
      </c>
      <c r="D551" t="s">
        <v>1894</v>
      </c>
      <c r="E551" s="615">
        <f ca="1">VLOOKUP(A551,Data!C:I,7,FALSE)</f>
        <v>0</v>
      </c>
      <c r="F551" s="709" t="str">
        <f t="shared" si="40"/>
        <v>ID.GV-42</v>
      </c>
      <c r="G551" s="709" t="str">
        <f t="shared" ca="1" si="41"/>
        <v>ID.GV-420</v>
      </c>
    </row>
    <row r="552" spans="1:7" x14ac:dyDescent="0.25">
      <c r="A552" t="s">
        <v>83</v>
      </c>
      <c r="B552" s="615">
        <v>2</v>
      </c>
      <c r="C552" t="s">
        <v>507</v>
      </c>
      <c r="D552" t="s">
        <v>1880</v>
      </c>
      <c r="E552" s="615">
        <f ca="1">VLOOKUP(A552,Data!C:I,7,FALSE)</f>
        <v>0</v>
      </c>
      <c r="F552" s="709" t="str">
        <f t="shared" si="40"/>
        <v>ID.RA-52</v>
      </c>
      <c r="G552" s="709" t="str">
        <f t="shared" ca="1" si="41"/>
        <v>ID.RA-520</v>
      </c>
    </row>
    <row r="553" spans="1:7" x14ac:dyDescent="0.25">
      <c r="A553" t="s">
        <v>83</v>
      </c>
      <c r="B553" s="615">
        <v>2</v>
      </c>
      <c r="C553" t="s">
        <v>507</v>
      </c>
      <c r="D553" t="s">
        <v>1895</v>
      </c>
      <c r="E553" s="615">
        <f ca="1">VLOOKUP(A553,Data!C:I,7,FALSE)</f>
        <v>0</v>
      </c>
      <c r="F553" s="709" t="str">
        <f t="shared" si="40"/>
        <v>ID.RM-12</v>
      </c>
      <c r="G553" s="709" t="str">
        <f t="shared" ca="1" si="41"/>
        <v>ID.RM-120</v>
      </c>
    </row>
    <row r="554" spans="1:7" x14ac:dyDescent="0.25">
      <c r="A554" t="s">
        <v>85</v>
      </c>
      <c r="B554" s="615">
        <v>2</v>
      </c>
      <c r="C554" t="s">
        <v>507</v>
      </c>
      <c r="D554" t="s">
        <v>1894</v>
      </c>
      <c r="E554" s="615">
        <f ca="1">VLOOKUP(A554,Data!C:I,7,FALSE)</f>
        <v>0</v>
      </c>
      <c r="F554" s="709" t="str">
        <f t="shared" si="40"/>
        <v>ID.GV-42</v>
      </c>
      <c r="G554" s="709" t="str">
        <f t="shared" ca="1" si="41"/>
        <v>ID.GV-420</v>
      </c>
    </row>
    <row r="555" spans="1:7" x14ac:dyDescent="0.25">
      <c r="A555" t="s">
        <v>85</v>
      </c>
      <c r="B555" s="615">
        <v>2</v>
      </c>
      <c r="C555" t="s">
        <v>507</v>
      </c>
      <c r="D555" t="s">
        <v>1880</v>
      </c>
      <c r="E555" s="615">
        <f ca="1">VLOOKUP(A555,Data!C:I,7,FALSE)</f>
        <v>0</v>
      </c>
      <c r="F555" s="709" t="str">
        <f t="shared" si="40"/>
        <v>ID.RA-52</v>
      </c>
      <c r="G555" s="709" t="str">
        <f t="shared" ca="1" si="41"/>
        <v>ID.RA-520</v>
      </c>
    </row>
    <row r="556" spans="1:7" x14ac:dyDescent="0.25">
      <c r="A556" t="s">
        <v>85</v>
      </c>
      <c r="B556" s="615">
        <v>2</v>
      </c>
      <c r="C556" t="s">
        <v>507</v>
      </c>
      <c r="D556" t="s">
        <v>1895</v>
      </c>
      <c r="E556" s="615">
        <f ca="1">VLOOKUP(A556,Data!C:I,7,FALSE)</f>
        <v>0</v>
      </c>
      <c r="F556" s="709" t="str">
        <f t="shared" si="40"/>
        <v>ID.RM-12</v>
      </c>
      <c r="G556" s="709" t="str">
        <f t="shared" ca="1" si="41"/>
        <v>ID.RM-120</v>
      </c>
    </row>
    <row r="557" spans="1:7" x14ac:dyDescent="0.25">
      <c r="A557" t="s">
        <v>87</v>
      </c>
      <c r="B557" s="615">
        <v>3</v>
      </c>
      <c r="C557" t="s">
        <v>507</v>
      </c>
      <c r="D557" t="s">
        <v>1894</v>
      </c>
      <c r="E557" s="615">
        <f ca="1">VLOOKUP(A557,Data!C:I,7,FALSE)</f>
        <v>0</v>
      </c>
      <c r="F557" s="709" t="str">
        <f t="shared" si="40"/>
        <v>ID.GV-43</v>
      </c>
      <c r="G557" s="709" t="str">
        <f t="shared" ca="1" si="41"/>
        <v>ID.GV-430</v>
      </c>
    </row>
    <row r="558" spans="1:7" x14ac:dyDescent="0.25">
      <c r="A558" t="s">
        <v>87</v>
      </c>
      <c r="B558" s="615">
        <v>3</v>
      </c>
      <c r="C558" t="s">
        <v>507</v>
      </c>
      <c r="D558" t="s">
        <v>1880</v>
      </c>
      <c r="E558" s="615">
        <f ca="1">VLOOKUP(A558,Data!C:I,7,FALSE)</f>
        <v>0</v>
      </c>
      <c r="F558" s="709" t="str">
        <f t="shared" si="40"/>
        <v>ID.RA-53</v>
      </c>
      <c r="G558" s="709" t="str">
        <f t="shared" ca="1" si="41"/>
        <v>ID.RA-530</v>
      </c>
    </row>
    <row r="559" spans="1:7" x14ac:dyDescent="0.25">
      <c r="A559" t="s">
        <v>87</v>
      </c>
      <c r="B559" s="615">
        <v>3</v>
      </c>
      <c r="C559" t="s">
        <v>507</v>
      </c>
      <c r="D559" t="s">
        <v>1895</v>
      </c>
      <c r="E559" s="615">
        <f ca="1">VLOOKUP(A559,Data!C:I,7,FALSE)</f>
        <v>0</v>
      </c>
      <c r="F559" s="709" t="str">
        <f t="shared" si="40"/>
        <v>ID.RM-13</v>
      </c>
      <c r="G559" s="709" t="str">
        <f t="shared" ca="1" si="41"/>
        <v>ID.RM-130</v>
      </c>
    </row>
    <row r="560" spans="1:7" x14ac:dyDescent="0.25">
      <c r="A560" t="s">
        <v>1039</v>
      </c>
      <c r="B560" s="615">
        <v>1</v>
      </c>
      <c r="C560" t="s">
        <v>507</v>
      </c>
      <c r="D560" t="s">
        <v>1894</v>
      </c>
      <c r="E560" s="615">
        <f ca="1">VLOOKUP(A560,Data!C:I,7,FALSE)</f>
        <v>0</v>
      </c>
      <c r="F560" s="709" t="str">
        <f t="shared" si="40"/>
        <v>ID.GV-41</v>
      </c>
      <c r="G560" s="709" t="str">
        <f t="shared" ca="1" si="41"/>
        <v>ID.GV-410</v>
      </c>
    </row>
    <row r="561" spans="1:7" x14ac:dyDescent="0.25">
      <c r="A561" t="s">
        <v>1039</v>
      </c>
      <c r="B561" s="615">
        <v>1</v>
      </c>
      <c r="C561" t="s">
        <v>507</v>
      </c>
      <c r="D561" t="s">
        <v>1930</v>
      </c>
      <c r="E561" s="615">
        <f ca="1">VLOOKUP(A561,Data!C:I,7,FALSE)</f>
        <v>0</v>
      </c>
      <c r="F561" s="709" t="str">
        <f t="shared" si="40"/>
        <v>ID.RA-61</v>
      </c>
      <c r="G561" s="709" t="str">
        <f t="shared" ca="1" si="41"/>
        <v>ID.RA-610</v>
      </c>
    </row>
    <row r="562" spans="1:7" x14ac:dyDescent="0.25">
      <c r="A562" t="s">
        <v>1039</v>
      </c>
      <c r="B562" s="615">
        <v>1</v>
      </c>
      <c r="C562" t="s">
        <v>507</v>
      </c>
      <c r="D562" t="s">
        <v>1895</v>
      </c>
      <c r="E562" s="615">
        <f ca="1">VLOOKUP(A562,Data!C:I,7,FALSE)</f>
        <v>0</v>
      </c>
      <c r="F562" s="709" t="str">
        <f t="shared" si="40"/>
        <v>ID.RM-11</v>
      </c>
      <c r="G562" s="709" t="str">
        <f t="shared" ca="1" si="41"/>
        <v>ID.RM-110</v>
      </c>
    </row>
    <row r="563" spans="1:7" x14ac:dyDescent="0.25">
      <c r="A563" t="s">
        <v>1040</v>
      </c>
      <c r="B563" s="615">
        <v>2</v>
      </c>
      <c r="C563" t="s">
        <v>1830</v>
      </c>
      <c r="D563" t="s">
        <v>1931</v>
      </c>
      <c r="E563" s="615">
        <f ca="1">VLOOKUP(A563,Data!C:I,7,FALSE)</f>
        <v>0</v>
      </c>
      <c r="F563" s="709" t="str">
        <f t="shared" si="40"/>
        <v>DE.CM-82</v>
      </c>
      <c r="G563" s="709" t="str">
        <f t="shared" ca="1" si="41"/>
        <v>DE.CM-820</v>
      </c>
    </row>
    <row r="564" spans="1:7" x14ac:dyDescent="0.25">
      <c r="A564" t="s">
        <v>1040</v>
      </c>
      <c r="B564" s="615">
        <v>2</v>
      </c>
      <c r="C564" t="s">
        <v>1830</v>
      </c>
      <c r="D564" t="s">
        <v>1908</v>
      </c>
      <c r="E564" s="615">
        <f ca="1">VLOOKUP(A564,Data!C:I,7,FALSE)</f>
        <v>0</v>
      </c>
      <c r="F564" s="709" t="str">
        <f t="shared" si="40"/>
        <v>DE.DP-22</v>
      </c>
      <c r="G564" s="709" t="str">
        <f t="shared" ca="1" si="41"/>
        <v>DE.DP-220</v>
      </c>
    </row>
    <row r="565" spans="1:7" x14ac:dyDescent="0.25">
      <c r="A565" t="s">
        <v>1040</v>
      </c>
      <c r="B565" s="615">
        <v>2</v>
      </c>
      <c r="C565" t="s">
        <v>507</v>
      </c>
      <c r="D565" t="s">
        <v>1894</v>
      </c>
      <c r="E565" s="615">
        <f ca="1">VLOOKUP(A565,Data!C:I,7,FALSE)</f>
        <v>0</v>
      </c>
      <c r="F565" s="709" t="str">
        <f t="shared" si="40"/>
        <v>ID.GV-42</v>
      </c>
      <c r="G565" s="709" t="str">
        <f t="shared" ca="1" si="41"/>
        <v>ID.GV-420</v>
      </c>
    </row>
    <row r="566" spans="1:7" x14ac:dyDescent="0.25">
      <c r="A566" t="s">
        <v>1040</v>
      </c>
      <c r="B566" s="615">
        <v>2</v>
      </c>
      <c r="C566" t="s">
        <v>507</v>
      </c>
      <c r="D566" t="s">
        <v>1930</v>
      </c>
      <c r="E566" s="615">
        <f ca="1">VLOOKUP(A566,Data!C:I,7,FALSE)</f>
        <v>0</v>
      </c>
      <c r="F566" s="709" t="str">
        <f t="shared" si="40"/>
        <v>ID.RA-62</v>
      </c>
      <c r="G566" s="709" t="str">
        <f t="shared" ca="1" si="41"/>
        <v>ID.RA-620</v>
      </c>
    </row>
    <row r="567" spans="1:7" x14ac:dyDescent="0.25">
      <c r="A567" t="s">
        <v>1040</v>
      </c>
      <c r="B567" s="615">
        <v>2</v>
      </c>
      <c r="C567" t="s">
        <v>507</v>
      </c>
      <c r="D567" t="s">
        <v>1895</v>
      </c>
      <c r="E567" s="615">
        <f ca="1">VLOOKUP(A567,Data!C:I,7,FALSE)</f>
        <v>0</v>
      </c>
      <c r="F567" s="709" t="str">
        <f t="shared" si="40"/>
        <v>ID.RM-12</v>
      </c>
      <c r="G567" s="709" t="str">
        <f t="shared" ca="1" si="41"/>
        <v>ID.RM-120</v>
      </c>
    </row>
    <row r="568" spans="1:7" x14ac:dyDescent="0.25">
      <c r="A568" t="s">
        <v>1040</v>
      </c>
      <c r="B568" s="615">
        <v>2</v>
      </c>
      <c r="C568" t="s">
        <v>1829</v>
      </c>
      <c r="D568" t="s">
        <v>1897</v>
      </c>
      <c r="E568" s="615">
        <f ca="1">VLOOKUP(A568,Data!C:I,7,FALSE)</f>
        <v>0</v>
      </c>
      <c r="F568" s="709" t="str">
        <f t="shared" si="40"/>
        <v>PR.IP-92</v>
      </c>
      <c r="G568" s="709" t="str">
        <f t="shared" ca="1" si="41"/>
        <v>PR.IP-920</v>
      </c>
    </row>
    <row r="569" spans="1:7" x14ac:dyDescent="0.25">
      <c r="A569" t="s">
        <v>1041</v>
      </c>
      <c r="B569" s="615">
        <v>3</v>
      </c>
      <c r="C569" t="s">
        <v>1829</v>
      </c>
      <c r="D569" t="s">
        <v>1859</v>
      </c>
      <c r="E569" s="615">
        <f ca="1">VLOOKUP(A569,Data!C:I,7,FALSE)</f>
        <v>0</v>
      </c>
      <c r="F569" s="709" t="str">
        <f t="shared" si="40"/>
        <v>PR.IP-83</v>
      </c>
      <c r="G569" s="709" t="str">
        <f t="shared" ca="1" si="41"/>
        <v>PR.IP-830</v>
      </c>
    </row>
    <row r="570" spans="1:7" x14ac:dyDescent="0.25">
      <c r="A570" t="s">
        <v>1042</v>
      </c>
      <c r="B570" s="615">
        <v>3</v>
      </c>
      <c r="C570" t="s">
        <v>507</v>
      </c>
      <c r="D570" t="s">
        <v>1894</v>
      </c>
      <c r="E570" s="615">
        <f ca="1">VLOOKUP(A570,Data!C:I,7,FALSE)</f>
        <v>0</v>
      </c>
      <c r="F570" s="709" t="str">
        <f t="shared" si="40"/>
        <v>ID.GV-43</v>
      </c>
      <c r="G570" s="709" t="str">
        <f t="shared" ca="1" si="41"/>
        <v>ID.GV-430</v>
      </c>
    </row>
    <row r="571" spans="1:7" x14ac:dyDescent="0.25">
      <c r="A571" t="s">
        <v>1042</v>
      </c>
      <c r="B571" s="615">
        <v>3</v>
      </c>
      <c r="C571" t="s">
        <v>507</v>
      </c>
      <c r="D571" t="s">
        <v>1895</v>
      </c>
      <c r="E571" s="615">
        <f ca="1">VLOOKUP(A571,Data!C:I,7,FALSE)</f>
        <v>0</v>
      </c>
      <c r="F571" s="709" t="str">
        <f t="shared" si="40"/>
        <v>ID.RM-13</v>
      </c>
      <c r="G571" s="709" t="str">
        <f t="shared" ca="1" si="41"/>
        <v>ID.RM-130</v>
      </c>
    </row>
    <row r="572" spans="1:7" x14ac:dyDescent="0.25">
      <c r="A572" t="s">
        <v>1042</v>
      </c>
      <c r="B572" s="615">
        <v>3</v>
      </c>
      <c r="C572" t="s">
        <v>507</v>
      </c>
      <c r="D572" t="s">
        <v>1932</v>
      </c>
      <c r="E572" s="615">
        <f ca="1">VLOOKUP(A572,Data!C:I,7,FALSE)</f>
        <v>0</v>
      </c>
      <c r="F572" s="709" t="str">
        <f t="shared" si="40"/>
        <v>ID.RM-23</v>
      </c>
      <c r="G572" s="709" t="str">
        <f t="shared" ca="1" si="41"/>
        <v>ID.RM-230</v>
      </c>
    </row>
    <row r="573" spans="1:7" x14ac:dyDescent="0.25">
      <c r="A573" t="s">
        <v>1043</v>
      </c>
      <c r="B573" s="615">
        <v>3</v>
      </c>
      <c r="C573" t="s">
        <v>507</v>
      </c>
      <c r="D573" t="s">
        <v>1894</v>
      </c>
      <c r="E573" s="615">
        <f ca="1">VLOOKUP(A573,Data!C:I,7,FALSE)</f>
        <v>0</v>
      </c>
      <c r="F573" s="709" t="str">
        <f t="shared" si="40"/>
        <v>ID.GV-43</v>
      </c>
      <c r="G573" s="709" t="str">
        <f t="shared" ca="1" si="41"/>
        <v>ID.GV-430</v>
      </c>
    </row>
    <row r="574" spans="1:7" x14ac:dyDescent="0.25">
      <c r="A574" t="s">
        <v>1043</v>
      </c>
      <c r="B574" s="615">
        <v>3</v>
      </c>
      <c r="C574" t="s">
        <v>507</v>
      </c>
      <c r="D574" t="s">
        <v>1930</v>
      </c>
      <c r="E574" s="615">
        <f ca="1">VLOOKUP(A574,Data!C:I,7,FALSE)</f>
        <v>0</v>
      </c>
      <c r="F574" s="709" t="str">
        <f t="shared" si="40"/>
        <v>ID.RA-63</v>
      </c>
      <c r="G574" s="709" t="str">
        <f t="shared" ca="1" si="41"/>
        <v>ID.RA-630</v>
      </c>
    </row>
    <row r="575" spans="1:7" x14ac:dyDescent="0.25">
      <c r="A575" t="s">
        <v>1043</v>
      </c>
      <c r="B575" s="615">
        <v>3</v>
      </c>
      <c r="C575" t="s">
        <v>507</v>
      </c>
      <c r="D575" t="s">
        <v>1895</v>
      </c>
      <c r="E575" s="615">
        <f ca="1">VLOOKUP(A575,Data!C:I,7,FALSE)</f>
        <v>0</v>
      </c>
      <c r="F575" s="709" t="str">
        <f t="shared" si="40"/>
        <v>ID.RM-13</v>
      </c>
      <c r="G575" s="709" t="str">
        <f t="shared" ca="1" si="41"/>
        <v>ID.RM-130</v>
      </c>
    </row>
    <row r="576" spans="1:7" x14ac:dyDescent="0.25">
      <c r="A576" t="s">
        <v>1044</v>
      </c>
      <c r="B576" s="615">
        <v>2</v>
      </c>
      <c r="C576" t="s">
        <v>507</v>
      </c>
      <c r="D576" t="s">
        <v>1895</v>
      </c>
      <c r="E576" s="615">
        <f ca="1">VLOOKUP(A576,Data!C:I,7,FALSE)</f>
        <v>0</v>
      </c>
      <c r="F576" s="709" t="str">
        <f t="shared" si="40"/>
        <v>ID.RM-12</v>
      </c>
      <c r="G576" s="709" t="str">
        <f t="shared" ca="1" si="41"/>
        <v>ID.RM-120</v>
      </c>
    </row>
    <row r="577" spans="1:7" x14ac:dyDescent="0.25">
      <c r="A577" t="s">
        <v>1045</v>
      </c>
      <c r="B577" s="615">
        <v>2</v>
      </c>
      <c r="C577" t="s">
        <v>507</v>
      </c>
      <c r="D577" t="s">
        <v>1895</v>
      </c>
      <c r="E577" s="615">
        <f ca="1">VLOOKUP(A577,Data!C:I,7,FALSE)</f>
        <v>0</v>
      </c>
      <c r="F577" s="709" t="str">
        <f t="shared" si="40"/>
        <v>ID.RM-12</v>
      </c>
      <c r="G577" s="709" t="str">
        <f t="shared" ca="1" si="41"/>
        <v>ID.RM-120</v>
      </c>
    </row>
    <row r="578" spans="1:7" x14ac:dyDescent="0.25">
      <c r="A578" t="s">
        <v>1046</v>
      </c>
      <c r="B578" s="615">
        <v>3</v>
      </c>
      <c r="C578" t="s">
        <v>507</v>
      </c>
      <c r="D578" t="s">
        <v>1890</v>
      </c>
      <c r="E578" s="615">
        <f ca="1">VLOOKUP(A578,Data!C:I,7,FALSE)</f>
        <v>0</v>
      </c>
      <c r="F578" s="709" t="str">
        <f t="shared" si="40"/>
        <v>ID.GV-13</v>
      </c>
      <c r="G578" s="709" t="str">
        <f t="shared" ca="1" si="41"/>
        <v>ID.GV-130</v>
      </c>
    </row>
    <row r="579" spans="1:7" x14ac:dyDescent="0.25">
      <c r="A579" t="s">
        <v>1046</v>
      </c>
      <c r="B579" s="615">
        <v>3</v>
      </c>
      <c r="C579" t="s">
        <v>507</v>
      </c>
      <c r="D579" t="s">
        <v>1894</v>
      </c>
      <c r="E579" s="615">
        <f ca="1">VLOOKUP(A579,Data!C:I,7,FALSE)</f>
        <v>0</v>
      </c>
      <c r="F579" s="709" t="str">
        <f t="shared" ref="F579:F642" si="42">CONCATENATE($D579,$B579)</f>
        <v>ID.GV-43</v>
      </c>
      <c r="G579" s="709" t="str">
        <f t="shared" ref="G579:G642" ca="1" si="43">_xlfn.IFNA(CONCATENATE(F579,$E579),CONCATENATE(F579,$E579,0))</f>
        <v>ID.GV-430</v>
      </c>
    </row>
    <row r="580" spans="1:7" x14ac:dyDescent="0.25">
      <c r="A580" t="s">
        <v>1047</v>
      </c>
      <c r="B580" s="615">
        <v>3</v>
      </c>
      <c r="C580" t="s">
        <v>507</v>
      </c>
      <c r="D580" t="s">
        <v>1895</v>
      </c>
      <c r="E580" s="615">
        <f ca="1">VLOOKUP(A580,Data!C:I,7,FALSE)</f>
        <v>0</v>
      </c>
      <c r="F580" s="709" t="str">
        <f t="shared" si="42"/>
        <v>ID.RM-13</v>
      </c>
      <c r="G580" s="709" t="str">
        <f t="shared" ca="1" si="43"/>
        <v>ID.RM-130</v>
      </c>
    </row>
    <row r="581" spans="1:7" x14ac:dyDescent="0.25">
      <c r="A581" t="s">
        <v>1048</v>
      </c>
      <c r="B581" s="615">
        <v>3</v>
      </c>
      <c r="C581" t="s">
        <v>507</v>
      </c>
      <c r="D581" t="s">
        <v>1857</v>
      </c>
      <c r="E581" s="615">
        <f ca="1">VLOOKUP(A581,Data!C:I,7,FALSE)</f>
        <v>0</v>
      </c>
      <c r="F581" s="709" t="str">
        <f t="shared" si="42"/>
        <v>ID.AM-63</v>
      </c>
      <c r="G581" s="709" t="str">
        <f t="shared" ca="1" si="43"/>
        <v>ID.AM-630</v>
      </c>
    </row>
    <row r="582" spans="1:7" x14ac:dyDescent="0.25">
      <c r="A582" t="s">
        <v>1048</v>
      </c>
      <c r="B582" s="615">
        <v>3</v>
      </c>
      <c r="C582" t="s">
        <v>507</v>
      </c>
      <c r="D582" t="s">
        <v>1858</v>
      </c>
      <c r="E582" s="615">
        <f ca="1">VLOOKUP(A582,Data!C:I,7,FALSE)</f>
        <v>0</v>
      </c>
      <c r="F582" s="709" t="str">
        <f t="shared" si="42"/>
        <v>ID.GV-23</v>
      </c>
      <c r="G582" s="709" t="str">
        <f t="shared" ca="1" si="43"/>
        <v>ID.GV-230</v>
      </c>
    </row>
    <row r="583" spans="1:7" x14ac:dyDescent="0.25">
      <c r="A583" t="s">
        <v>1048</v>
      </c>
      <c r="B583" s="615">
        <v>3</v>
      </c>
      <c r="C583" t="s">
        <v>507</v>
      </c>
      <c r="D583" t="s">
        <v>1895</v>
      </c>
      <c r="E583" s="615">
        <f ca="1">VLOOKUP(A583,Data!C:I,7,FALSE)</f>
        <v>0</v>
      </c>
      <c r="F583" s="709" t="str">
        <f t="shared" si="42"/>
        <v>ID.RM-13</v>
      </c>
      <c r="G583" s="709" t="str">
        <f t="shared" ca="1" si="43"/>
        <v>ID.RM-130</v>
      </c>
    </row>
    <row r="584" spans="1:7" x14ac:dyDescent="0.25">
      <c r="A584" t="s">
        <v>1049</v>
      </c>
      <c r="B584" s="615">
        <v>3</v>
      </c>
      <c r="C584" t="s">
        <v>1829</v>
      </c>
      <c r="D584" t="s">
        <v>1859</v>
      </c>
      <c r="E584" s="615">
        <f ca="1">VLOOKUP(A584,Data!C:I,7,FALSE)</f>
        <v>0</v>
      </c>
      <c r="F584" s="709" t="str">
        <f t="shared" si="42"/>
        <v>PR.IP-83</v>
      </c>
      <c r="G584" s="709" t="str">
        <f t="shared" ca="1" si="43"/>
        <v>PR.IP-830</v>
      </c>
    </row>
    <row r="585" spans="1:7" x14ac:dyDescent="0.25">
      <c r="A585" t="s">
        <v>222</v>
      </c>
      <c r="B585" s="615">
        <v>1</v>
      </c>
      <c r="C585" t="s">
        <v>1829</v>
      </c>
      <c r="D585" t="s">
        <v>1849</v>
      </c>
      <c r="E585" s="615">
        <f ca="1">VLOOKUP(A585,Data!C:I,7,FALSE)</f>
        <v>0</v>
      </c>
      <c r="F585" s="709" t="str">
        <f t="shared" si="42"/>
        <v>PR.MA-21</v>
      </c>
      <c r="G585" s="709" t="str">
        <f t="shared" ca="1" si="43"/>
        <v>PR.MA-210</v>
      </c>
    </row>
    <row r="586" spans="1:7" x14ac:dyDescent="0.25">
      <c r="A586" t="s">
        <v>222</v>
      </c>
      <c r="B586" s="615">
        <v>1</v>
      </c>
      <c r="C586" t="s">
        <v>1829</v>
      </c>
      <c r="D586" t="s">
        <v>1856</v>
      </c>
      <c r="E586" s="615">
        <f ca="1">VLOOKUP(A586,Data!C:I,7,FALSE)</f>
        <v>0</v>
      </c>
      <c r="F586" s="709" t="str">
        <f t="shared" si="42"/>
        <v>PR.PT-11</v>
      </c>
      <c r="G586" s="709" t="str">
        <f t="shared" ca="1" si="43"/>
        <v>PR.PT-110</v>
      </c>
    </row>
    <row r="587" spans="1:7" x14ac:dyDescent="0.25">
      <c r="A587" t="s">
        <v>223</v>
      </c>
      <c r="B587" s="615">
        <v>2</v>
      </c>
      <c r="C587" t="s">
        <v>1829</v>
      </c>
      <c r="D587" t="s">
        <v>1849</v>
      </c>
      <c r="E587" s="615">
        <f ca="1">VLOOKUP(A587,Data!C:I,7,FALSE)</f>
        <v>0</v>
      </c>
      <c r="F587" s="709" t="str">
        <f t="shared" si="42"/>
        <v>PR.MA-22</v>
      </c>
      <c r="G587" s="709" t="str">
        <f t="shared" ca="1" si="43"/>
        <v>PR.MA-220</v>
      </c>
    </row>
    <row r="588" spans="1:7" x14ac:dyDescent="0.25">
      <c r="A588" t="s">
        <v>223</v>
      </c>
      <c r="B588" s="615">
        <v>2</v>
      </c>
      <c r="C588" t="s">
        <v>1829</v>
      </c>
      <c r="D588" t="s">
        <v>1856</v>
      </c>
      <c r="E588" s="615">
        <f ca="1">VLOOKUP(A588,Data!C:I,7,FALSE)</f>
        <v>0</v>
      </c>
      <c r="F588" s="709" t="str">
        <f t="shared" si="42"/>
        <v>PR.PT-12</v>
      </c>
      <c r="G588" s="709" t="str">
        <f t="shared" ca="1" si="43"/>
        <v>PR.PT-120</v>
      </c>
    </row>
    <row r="589" spans="1:7" x14ac:dyDescent="0.25">
      <c r="A589" t="s">
        <v>224</v>
      </c>
      <c r="B589" s="615">
        <v>2</v>
      </c>
      <c r="C589" t="s">
        <v>1829</v>
      </c>
      <c r="D589" t="s">
        <v>1856</v>
      </c>
      <c r="E589" s="615">
        <f ca="1">VLOOKUP(A589,Data!C:I,7,FALSE)</f>
        <v>0</v>
      </c>
      <c r="F589" s="709" t="str">
        <f t="shared" si="42"/>
        <v>PR.PT-12</v>
      </c>
      <c r="G589" s="709" t="str">
        <f t="shared" ca="1" si="43"/>
        <v>PR.PT-120</v>
      </c>
    </row>
    <row r="590" spans="1:7" x14ac:dyDescent="0.25">
      <c r="A590" t="s">
        <v>225</v>
      </c>
      <c r="B590" s="615">
        <v>2</v>
      </c>
      <c r="C590" t="s">
        <v>1829</v>
      </c>
      <c r="D590" t="s">
        <v>1856</v>
      </c>
      <c r="E590" s="615">
        <f ca="1">VLOOKUP(A590,Data!C:I,7,FALSE)</f>
        <v>0</v>
      </c>
      <c r="F590" s="709" t="str">
        <f t="shared" si="42"/>
        <v>PR.PT-12</v>
      </c>
      <c r="G590" s="709" t="str">
        <f t="shared" ca="1" si="43"/>
        <v>PR.PT-120</v>
      </c>
    </row>
    <row r="591" spans="1:7" x14ac:dyDescent="0.25">
      <c r="A591" t="s">
        <v>1059</v>
      </c>
      <c r="B591" s="615">
        <v>3</v>
      </c>
      <c r="C591" t="s">
        <v>1829</v>
      </c>
      <c r="D591" t="s">
        <v>1856</v>
      </c>
      <c r="E591" s="615">
        <f ca="1">VLOOKUP(A591,Data!C:I,7,FALSE)</f>
        <v>0</v>
      </c>
      <c r="F591" s="709" t="str">
        <f t="shared" si="42"/>
        <v>PR.PT-13</v>
      </c>
      <c r="G591" s="709" t="str">
        <f t="shared" ca="1" si="43"/>
        <v>PR.PT-130</v>
      </c>
    </row>
    <row r="592" spans="1:7" x14ac:dyDescent="0.25">
      <c r="A592" t="s">
        <v>226</v>
      </c>
      <c r="B592" s="615">
        <v>1</v>
      </c>
      <c r="C592" t="s">
        <v>1830</v>
      </c>
      <c r="D592" t="s">
        <v>1933</v>
      </c>
      <c r="E592" s="615">
        <f ca="1">VLOOKUP(A592,Data!C:I,7,FALSE)</f>
        <v>0</v>
      </c>
      <c r="F592" s="709" t="str">
        <f t="shared" si="42"/>
        <v>DE.AE-11</v>
      </c>
      <c r="G592" s="709" t="str">
        <f t="shared" ca="1" si="43"/>
        <v>DE.AE-110</v>
      </c>
    </row>
    <row r="593" spans="1:7" x14ac:dyDescent="0.25">
      <c r="A593" t="s">
        <v>226</v>
      </c>
      <c r="B593" s="615">
        <v>1</v>
      </c>
      <c r="C593" t="s">
        <v>1830</v>
      </c>
      <c r="D593" t="s">
        <v>1865</v>
      </c>
      <c r="E593" s="615">
        <f ca="1">VLOOKUP(A593,Data!C:I,7,FALSE)</f>
        <v>0</v>
      </c>
      <c r="F593" s="709" t="str">
        <f t="shared" si="42"/>
        <v>DE.CM-11</v>
      </c>
      <c r="G593" s="709" t="str">
        <f t="shared" ca="1" si="43"/>
        <v>DE.CM-110</v>
      </c>
    </row>
    <row r="594" spans="1:7" x14ac:dyDescent="0.25">
      <c r="A594" t="s">
        <v>226</v>
      </c>
      <c r="B594" s="615">
        <v>1</v>
      </c>
      <c r="C594" t="s">
        <v>1830</v>
      </c>
      <c r="D594" t="s">
        <v>1855</v>
      </c>
      <c r="E594" s="615">
        <f ca="1">VLOOKUP(A594,Data!C:I,7,FALSE)</f>
        <v>0</v>
      </c>
      <c r="F594" s="709" t="str">
        <f t="shared" si="42"/>
        <v>DE.CM-21</v>
      </c>
      <c r="G594" s="709" t="str">
        <f t="shared" ca="1" si="43"/>
        <v>DE.CM-210</v>
      </c>
    </row>
    <row r="595" spans="1:7" x14ac:dyDescent="0.25">
      <c r="A595" t="s">
        <v>226</v>
      </c>
      <c r="B595" s="615">
        <v>1</v>
      </c>
      <c r="C595" t="s">
        <v>1830</v>
      </c>
      <c r="D595" t="s">
        <v>1851</v>
      </c>
      <c r="E595" s="615">
        <f ca="1">VLOOKUP(A595,Data!C:I,7,FALSE)</f>
        <v>0</v>
      </c>
      <c r="F595" s="709" t="str">
        <f t="shared" si="42"/>
        <v>DE.CM-31</v>
      </c>
      <c r="G595" s="709" t="str">
        <f t="shared" ca="1" si="43"/>
        <v>DE.CM-310</v>
      </c>
    </row>
    <row r="596" spans="1:7" x14ac:dyDescent="0.25">
      <c r="A596" t="s">
        <v>226</v>
      </c>
      <c r="B596" s="615">
        <v>1</v>
      </c>
      <c r="C596" t="s">
        <v>1830</v>
      </c>
      <c r="D596" t="s">
        <v>1869</v>
      </c>
      <c r="E596" s="615">
        <f ca="1">VLOOKUP(A596,Data!C:I,7,FALSE)</f>
        <v>0</v>
      </c>
      <c r="F596" s="709" t="str">
        <f t="shared" si="42"/>
        <v>DE.CM-41</v>
      </c>
      <c r="G596" s="709" t="str">
        <f t="shared" ca="1" si="43"/>
        <v>DE.CM-410</v>
      </c>
    </row>
    <row r="597" spans="1:7" x14ac:dyDescent="0.25">
      <c r="A597" t="s">
        <v>226</v>
      </c>
      <c r="B597" s="615">
        <v>1</v>
      </c>
      <c r="C597" t="s">
        <v>1830</v>
      </c>
      <c r="D597" t="s">
        <v>1873</v>
      </c>
      <c r="E597" s="615">
        <f ca="1">VLOOKUP(A597,Data!C:I,7,FALSE)</f>
        <v>0</v>
      </c>
      <c r="F597" s="709" t="str">
        <f t="shared" si="42"/>
        <v>DE.CM-51</v>
      </c>
      <c r="G597" s="709" t="str">
        <f t="shared" ca="1" si="43"/>
        <v>DE.CM-510</v>
      </c>
    </row>
    <row r="598" spans="1:7" x14ac:dyDescent="0.25">
      <c r="A598" t="s">
        <v>226</v>
      </c>
      <c r="B598" s="615">
        <v>1</v>
      </c>
      <c r="C598" t="s">
        <v>1830</v>
      </c>
      <c r="D598" t="s">
        <v>1852</v>
      </c>
      <c r="E598" s="615">
        <f ca="1">VLOOKUP(A598,Data!C:I,7,FALSE)</f>
        <v>0</v>
      </c>
      <c r="F598" s="709" t="str">
        <f t="shared" si="42"/>
        <v>DE.CM-61</v>
      </c>
      <c r="G598" s="709" t="str">
        <f t="shared" ca="1" si="43"/>
        <v>DE.CM-610</v>
      </c>
    </row>
    <row r="599" spans="1:7" x14ac:dyDescent="0.25">
      <c r="A599" t="s">
        <v>226</v>
      </c>
      <c r="B599" s="615">
        <v>1</v>
      </c>
      <c r="C599" t="s">
        <v>1830</v>
      </c>
      <c r="D599" t="s">
        <v>1853</v>
      </c>
      <c r="E599" s="615">
        <f ca="1">VLOOKUP(A599,Data!C:I,7,FALSE)</f>
        <v>0</v>
      </c>
      <c r="F599" s="709" t="str">
        <f t="shared" si="42"/>
        <v>DE.CM-71</v>
      </c>
      <c r="G599" s="709" t="str">
        <f t="shared" ca="1" si="43"/>
        <v>DE.CM-710</v>
      </c>
    </row>
    <row r="600" spans="1:7" x14ac:dyDescent="0.25">
      <c r="A600" t="s">
        <v>226</v>
      </c>
      <c r="B600" s="615">
        <v>1</v>
      </c>
      <c r="C600" t="s">
        <v>1829</v>
      </c>
      <c r="D600" t="s">
        <v>1856</v>
      </c>
      <c r="E600" s="615">
        <f ca="1">VLOOKUP(A600,Data!C:I,7,FALSE)</f>
        <v>0</v>
      </c>
      <c r="F600" s="709" t="str">
        <f t="shared" si="42"/>
        <v>PR.PT-11</v>
      </c>
      <c r="G600" s="709" t="str">
        <f t="shared" ca="1" si="43"/>
        <v>PR.PT-110</v>
      </c>
    </row>
    <row r="601" spans="1:7" x14ac:dyDescent="0.25">
      <c r="A601" t="s">
        <v>227</v>
      </c>
      <c r="B601" s="615">
        <v>1</v>
      </c>
      <c r="C601" t="s">
        <v>1830</v>
      </c>
      <c r="D601" t="s">
        <v>1865</v>
      </c>
      <c r="E601" s="615">
        <f ca="1">VLOOKUP(A601,Data!C:I,7,FALSE)</f>
        <v>0</v>
      </c>
      <c r="F601" s="709" t="str">
        <f t="shared" si="42"/>
        <v>DE.CM-11</v>
      </c>
      <c r="G601" s="709" t="str">
        <f t="shared" ca="1" si="43"/>
        <v>DE.CM-110</v>
      </c>
    </row>
    <row r="602" spans="1:7" x14ac:dyDescent="0.25">
      <c r="A602" t="s">
        <v>227</v>
      </c>
      <c r="B602" s="615">
        <v>1</v>
      </c>
      <c r="C602" t="s">
        <v>1830</v>
      </c>
      <c r="D602" t="s">
        <v>1855</v>
      </c>
      <c r="E602" s="615">
        <f ca="1">VLOOKUP(A602,Data!C:I,7,FALSE)</f>
        <v>0</v>
      </c>
      <c r="F602" s="709" t="str">
        <f t="shared" si="42"/>
        <v>DE.CM-21</v>
      </c>
      <c r="G602" s="709" t="str">
        <f t="shared" ca="1" si="43"/>
        <v>DE.CM-210</v>
      </c>
    </row>
    <row r="603" spans="1:7" x14ac:dyDescent="0.25">
      <c r="A603" t="s">
        <v>227</v>
      </c>
      <c r="B603" s="615">
        <v>1</v>
      </c>
      <c r="C603" t="s">
        <v>1830</v>
      </c>
      <c r="D603" t="s">
        <v>1851</v>
      </c>
      <c r="E603" s="615">
        <f ca="1">VLOOKUP(A603,Data!C:I,7,FALSE)</f>
        <v>0</v>
      </c>
      <c r="F603" s="709" t="str">
        <f t="shared" si="42"/>
        <v>DE.CM-31</v>
      </c>
      <c r="G603" s="709" t="str">
        <f t="shared" ca="1" si="43"/>
        <v>DE.CM-310</v>
      </c>
    </row>
    <row r="604" spans="1:7" x14ac:dyDescent="0.25">
      <c r="A604" t="s">
        <v>227</v>
      </c>
      <c r="B604" s="615">
        <v>1</v>
      </c>
      <c r="C604" t="s">
        <v>1830</v>
      </c>
      <c r="D604" t="s">
        <v>1869</v>
      </c>
      <c r="E604" s="615">
        <f ca="1">VLOOKUP(A604,Data!C:I,7,FALSE)</f>
        <v>0</v>
      </c>
      <c r="F604" s="709" t="str">
        <f t="shared" si="42"/>
        <v>DE.CM-41</v>
      </c>
      <c r="G604" s="709" t="str">
        <f t="shared" ca="1" si="43"/>
        <v>DE.CM-410</v>
      </c>
    </row>
    <row r="605" spans="1:7" x14ac:dyDescent="0.25">
      <c r="A605" t="s">
        <v>227</v>
      </c>
      <c r="B605" s="615">
        <v>1</v>
      </c>
      <c r="C605" t="s">
        <v>1830</v>
      </c>
      <c r="D605" t="s">
        <v>1873</v>
      </c>
      <c r="E605" s="615">
        <f ca="1">VLOOKUP(A605,Data!C:I,7,FALSE)</f>
        <v>0</v>
      </c>
      <c r="F605" s="709" t="str">
        <f t="shared" si="42"/>
        <v>DE.CM-51</v>
      </c>
      <c r="G605" s="709" t="str">
        <f t="shared" ca="1" si="43"/>
        <v>DE.CM-510</v>
      </c>
    </row>
    <row r="606" spans="1:7" x14ac:dyDescent="0.25">
      <c r="A606" t="s">
        <v>227</v>
      </c>
      <c r="B606" s="615">
        <v>1</v>
      </c>
      <c r="C606" t="s">
        <v>1830</v>
      </c>
      <c r="D606" t="s">
        <v>1852</v>
      </c>
      <c r="E606" s="615">
        <f ca="1">VLOOKUP(A606,Data!C:I,7,FALSE)</f>
        <v>0</v>
      </c>
      <c r="F606" s="709" t="str">
        <f t="shared" si="42"/>
        <v>DE.CM-61</v>
      </c>
      <c r="G606" s="709" t="str">
        <f t="shared" ca="1" si="43"/>
        <v>DE.CM-610</v>
      </c>
    </row>
    <row r="607" spans="1:7" x14ac:dyDescent="0.25">
      <c r="A607" t="s">
        <v>227</v>
      </c>
      <c r="B607" s="615">
        <v>1</v>
      </c>
      <c r="C607" t="s">
        <v>1830</v>
      </c>
      <c r="D607" t="s">
        <v>1853</v>
      </c>
      <c r="E607" s="615">
        <f ca="1">VLOOKUP(A607,Data!C:I,7,FALSE)</f>
        <v>0</v>
      </c>
      <c r="F607" s="709" t="str">
        <f t="shared" si="42"/>
        <v>DE.CM-71</v>
      </c>
      <c r="G607" s="709" t="str">
        <f t="shared" ca="1" si="43"/>
        <v>DE.CM-710</v>
      </c>
    </row>
    <row r="608" spans="1:7" x14ac:dyDescent="0.25">
      <c r="A608" t="s">
        <v>228</v>
      </c>
      <c r="B608" s="615">
        <v>2</v>
      </c>
      <c r="C608" t="s">
        <v>1830</v>
      </c>
      <c r="D608" t="s">
        <v>1933</v>
      </c>
      <c r="E608" s="615">
        <f ca="1">VLOOKUP(A608,Data!C:I,7,FALSE)</f>
        <v>0</v>
      </c>
      <c r="F608" s="709" t="str">
        <f t="shared" si="42"/>
        <v>DE.AE-12</v>
      </c>
      <c r="G608" s="709" t="str">
        <f t="shared" ca="1" si="43"/>
        <v>DE.AE-120</v>
      </c>
    </row>
    <row r="609" spans="1:7" x14ac:dyDescent="0.25">
      <c r="A609" t="s">
        <v>228</v>
      </c>
      <c r="B609" s="615">
        <v>2</v>
      </c>
      <c r="C609" t="s">
        <v>1830</v>
      </c>
      <c r="D609" t="s">
        <v>1910</v>
      </c>
      <c r="E609" s="615">
        <f ca="1">VLOOKUP(A609,Data!C:I,7,FALSE)</f>
        <v>0</v>
      </c>
      <c r="F609" s="709" t="str">
        <f t="shared" si="42"/>
        <v>DE.AE-22</v>
      </c>
      <c r="G609" s="709" t="str">
        <f t="shared" ca="1" si="43"/>
        <v>DE.AE-220</v>
      </c>
    </row>
    <row r="610" spans="1:7" x14ac:dyDescent="0.25">
      <c r="A610" t="s">
        <v>228</v>
      </c>
      <c r="B610" s="615">
        <v>2</v>
      </c>
      <c r="C610" t="s">
        <v>1830</v>
      </c>
      <c r="D610" t="s">
        <v>1905</v>
      </c>
      <c r="E610" s="615">
        <f ca="1">VLOOKUP(A610,Data!C:I,7,FALSE)</f>
        <v>0</v>
      </c>
      <c r="F610" s="709" t="str">
        <f t="shared" si="42"/>
        <v>DE.AE-32</v>
      </c>
      <c r="G610" s="709" t="str">
        <f t="shared" ca="1" si="43"/>
        <v>DE.AE-320</v>
      </c>
    </row>
    <row r="611" spans="1:7" x14ac:dyDescent="0.25">
      <c r="A611" t="s">
        <v>229</v>
      </c>
      <c r="B611" s="615">
        <v>2</v>
      </c>
      <c r="C611" t="s">
        <v>1830</v>
      </c>
      <c r="D611" t="s">
        <v>1865</v>
      </c>
      <c r="E611" s="615">
        <f ca="1">VLOOKUP(A611,Data!C:I,7,FALSE)</f>
        <v>0</v>
      </c>
      <c r="F611" s="709" t="str">
        <f t="shared" si="42"/>
        <v>DE.CM-12</v>
      </c>
      <c r="G611" s="709" t="str">
        <f t="shared" ca="1" si="43"/>
        <v>DE.CM-120</v>
      </c>
    </row>
    <row r="612" spans="1:7" x14ac:dyDescent="0.25">
      <c r="A612" t="s">
        <v>229</v>
      </c>
      <c r="B612" s="615">
        <v>2</v>
      </c>
      <c r="C612" t="s">
        <v>1830</v>
      </c>
      <c r="D612" t="s">
        <v>1855</v>
      </c>
      <c r="E612" s="615">
        <f ca="1">VLOOKUP(A612,Data!C:I,7,FALSE)</f>
        <v>0</v>
      </c>
      <c r="F612" s="709" t="str">
        <f t="shared" si="42"/>
        <v>DE.CM-22</v>
      </c>
      <c r="G612" s="709" t="str">
        <f t="shared" ca="1" si="43"/>
        <v>DE.CM-220</v>
      </c>
    </row>
    <row r="613" spans="1:7" x14ac:dyDescent="0.25">
      <c r="A613" t="s">
        <v>229</v>
      </c>
      <c r="B613" s="615">
        <v>2</v>
      </c>
      <c r="C613" t="s">
        <v>1830</v>
      </c>
      <c r="D613" t="s">
        <v>1851</v>
      </c>
      <c r="E613" s="615">
        <f ca="1">VLOOKUP(A613,Data!C:I,7,FALSE)</f>
        <v>0</v>
      </c>
      <c r="F613" s="709" t="str">
        <f t="shared" si="42"/>
        <v>DE.CM-32</v>
      </c>
      <c r="G613" s="709" t="str">
        <f t="shared" ca="1" si="43"/>
        <v>DE.CM-320</v>
      </c>
    </row>
    <row r="614" spans="1:7" x14ac:dyDescent="0.25">
      <c r="A614" t="s">
        <v>229</v>
      </c>
      <c r="B614" s="615">
        <v>2</v>
      </c>
      <c r="C614" t="s">
        <v>1830</v>
      </c>
      <c r="D614" t="s">
        <v>1869</v>
      </c>
      <c r="E614" s="615">
        <f ca="1">VLOOKUP(A614,Data!C:I,7,FALSE)</f>
        <v>0</v>
      </c>
      <c r="F614" s="709" t="str">
        <f t="shared" si="42"/>
        <v>DE.CM-42</v>
      </c>
      <c r="G614" s="709" t="str">
        <f t="shared" ca="1" si="43"/>
        <v>DE.CM-420</v>
      </c>
    </row>
    <row r="615" spans="1:7" x14ac:dyDescent="0.25">
      <c r="A615" t="s">
        <v>229</v>
      </c>
      <c r="B615" s="615">
        <v>2</v>
      </c>
      <c r="C615" t="s">
        <v>1830</v>
      </c>
      <c r="D615" t="s">
        <v>1873</v>
      </c>
      <c r="E615" s="615">
        <f ca="1">VLOOKUP(A615,Data!C:I,7,FALSE)</f>
        <v>0</v>
      </c>
      <c r="F615" s="709" t="str">
        <f t="shared" si="42"/>
        <v>DE.CM-52</v>
      </c>
      <c r="G615" s="709" t="str">
        <f t="shared" ca="1" si="43"/>
        <v>DE.CM-520</v>
      </c>
    </row>
    <row r="616" spans="1:7" x14ac:dyDescent="0.25">
      <c r="A616" t="s">
        <v>229</v>
      </c>
      <c r="B616" s="615">
        <v>2</v>
      </c>
      <c r="C616" t="s">
        <v>1830</v>
      </c>
      <c r="D616" t="s">
        <v>1852</v>
      </c>
      <c r="E616" s="615">
        <f ca="1">VLOOKUP(A616,Data!C:I,7,FALSE)</f>
        <v>0</v>
      </c>
      <c r="F616" s="709" t="str">
        <f t="shared" si="42"/>
        <v>DE.CM-62</v>
      </c>
      <c r="G616" s="709" t="str">
        <f t="shared" ca="1" si="43"/>
        <v>DE.CM-620</v>
      </c>
    </row>
    <row r="617" spans="1:7" x14ac:dyDescent="0.25">
      <c r="A617" t="s">
        <v>229</v>
      </c>
      <c r="B617" s="615">
        <v>2</v>
      </c>
      <c r="C617" t="s">
        <v>1830</v>
      </c>
      <c r="D617" t="s">
        <v>1853</v>
      </c>
      <c r="E617" s="615">
        <f ca="1">VLOOKUP(A617,Data!C:I,7,FALSE)</f>
        <v>0</v>
      </c>
      <c r="F617" s="709" t="str">
        <f t="shared" si="42"/>
        <v>DE.CM-72</v>
      </c>
      <c r="G617" s="709" t="str">
        <f t="shared" ca="1" si="43"/>
        <v>DE.CM-720</v>
      </c>
    </row>
    <row r="618" spans="1:7" x14ac:dyDescent="0.25">
      <c r="A618" t="s">
        <v>229</v>
      </c>
      <c r="B618" s="615">
        <v>2</v>
      </c>
      <c r="C618" t="s">
        <v>1829</v>
      </c>
      <c r="D618" t="s">
        <v>1866</v>
      </c>
      <c r="E618" s="615">
        <f ca="1">VLOOKUP(A618,Data!C:I,7,FALSE)</f>
        <v>0</v>
      </c>
      <c r="F618" s="709" t="str">
        <f t="shared" si="42"/>
        <v>PR.DS-62</v>
      </c>
      <c r="G618" s="709" t="str">
        <f t="shared" ca="1" si="43"/>
        <v>PR.DS-620</v>
      </c>
    </row>
    <row r="619" spans="1:7" x14ac:dyDescent="0.25">
      <c r="A619" t="s">
        <v>229</v>
      </c>
      <c r="B619" s="615">
        <v>2</v>
      </c>
      <c r="C619" t="s">
        <v>1829</v>
      </c>
      <c r="D619" t="s">
        <v>1856</v>
      </c>
      <c r="E619" s="615">
        <f ca="1">VLOOKUP(A619,Data!C:I,7,FALSE)</f>
        <v>0</v>
      </c>
      <c r="F619" s="709" t="str">
        <f t="shared" si="42"/>
        <v>PR.PT-12</v>
      </c>
      <c r="G619" s="709" t="str">
        <f t="shared" ca="1" si="43"/>
        <v>PR.PT-120</v>
      </c>
    </row>
    <row r="620" spans="1:7" x14ac:dyDescent="0.25">
      <c r="A620" t="s">
        <v>230</v>
      </c>
      <c r="B620" s="615">
        <v>2</v>
      </c>
      <c r="C620" t="s">
        <v>1830</v>
      </c>
      <c r="D620" t="s">
        <v>1912</v>
      </c>
      <c r="E620" s="615">
        <f ca="1">VLOOKUP(A620,Data!C:I,7,FALSE)</f>
        <v>0</v>
      </c>
      <c r="F620" s="709" t="str">
        <f t="shared" si="42"/>
        <v>DE.AE-52</v>
      </c>
      <c r="G620" s="709" t="str">
        <f t="shared" ca="1" si="43"/>
        <v>DE.AE-520</v>
      </c>
    </row>
    <row r="621" spans="1:7" x14ac:dyDescent="0.25">
      <c r="A621" t="s">
        <v>231</v>
      </c>
      <c r="B621" s="615">
        <v>2</v>
      </c>
      <c r="C621" t="s">
        <v>1830</v>
      </c>
      <c r="D621" t="s">
        <v>1865</v>
      </c>
      <c r="E621" s="615">
        <f ca="1">VLOOKUP(A621,Data!C:I,7,FALSE)</f>
        <v>0</v>
      </c>
      <c r="F621" s="709" t="str">
        <f t="shared" si="42"/>
        <v>DE.CM-12</v>
      </c>
      <c r="G621" s="709" t="str">
        <f t="shared" ca="1" si="43"/>
        <v>DE.CM-120</v>
      </c>
    </row>
    <row r="622" spans="1:7" x14ac:dyDescent="0.25">
      <c r="A622" t="s">
        <v>231</v>
      </c>
      <c r="B622" s="615">
        <v>2</v>
      </c>
      <c r="C622" t="s">
        <v>1830</v>
      </c>
      <c r="D622" t="s">
        <v>1855</v>
      </c>
      <c r="E622" s="615">
        <f ca="1">VLOOKUP(A622,Data!C:I,7,FALSE)</f>
        <v>0</v>
      </c>
      <c r="F622" s="709" t="str">
        <f t="shared" si="42"/>
        <v>DE.CM-22</v>
      </c>
      <c r="G622" s="709" t="str">
        <f t="shared" ca="1" si="43"/>
        <v>DE.CM-220</v>
      </c>
    </row>
    <row r="623" spans="1:7" x14ac:dyDescent="0.25">
      <c r="A623" t="s">
        <v>231</v>
      </c>
      <c r="B623" s="615">
        <v>2</v>
      </c>
      <c r="C623" t="s">
        <v>1830</v>
      </c>
      <c r="D623" t="s">
        <v>1851</v>
      </c>
      <c r="E623" s="615">
        <f ca="1">VLOOKUP(A623,Data!C:I,7,FALSE)</f>
        <v>0</v>
      </c>
      <c r="F623" s="709" t="str">
        <f t="shared" si="42"/>
        <v>DE.CM-32</v>
      </c>
      <c r="G623" s="709" t="str">
        <f t="shared" ca="1" si="43"/>
        <v>DE.CM-320</v>
      </c>
    </row>
    <row r="624" spans="1:7" x14ac:dyDescent="0.25">
      <c r="A624" t="s">
        <v>231</v>
      </c>
      <c r="B624" s="615">
        <v>2</v>
      </c>
      <c r="C624" t="s">
        <v>1830</v>
      </c>
      <c r="D624" t="s">
        <v>1852</v>
      </c>
      <c r="E624" s="615">
        <f ca="1">VLOOKUP(A624,Data!C:I,7,FALSE)</f>
        <v>0</v>
      </c>
      <c r="F624" s="709" t="str">
        <f t="shared" si="42"/>
        <v>DE.CM-62</v>
      </c>
      <c r="G624" s="709" t="str">
        <f t="shared" ca="1" si="43"/>
        <v>DE.CM-620</v>
      </c>
    </row>
    <row r="625" spans="1:7" x14ac:dyDescent="0.25">
      <c r="A625" t="s">
        <v>231</v>
      </c>
      <c r="B625" s="615">
        <v>2</v>
      </c>
      <c r="C625" t="s">
        <v>1830</v>
      </c>
      <c r="D625" t="s">
        <v>1853</v>
      </c>
      <c r="E625" s="615">
        <f ca="1">VLOOKUP(A625,Data!C:I,7,FALSE)</f>
        <v>0</v>
      </c>
      <c r="F625" s="709" t="str">
        <f t="shared" si="42"/>
        <v>DE.CM-72</v>
      </c>
      <c r="G625" s="709" t="str">
        <f t="shared" ca="1" si="43"/>
        <v>DE.CM-720</v>
      </c>
    </row>
    <row r="626" spans="1:7" x14ac:dyDescent="0.25">
      <c r="A626" t="s">
        <v>232</v>
      </c>
      <c r="B626" s="615">
        <v>3</v>
      </c>
      <c r="C626" t="s">
        <v>1830</v>
      </c>
      <c r="D626" t="s">
        <v>1865</v>
      </c>
      <c r="E626" s="615">
        <f ca="1">VLOOKUP(A626,Data!C:I,7,FALSE)</f>
        <v>0</v>
      </c>
      <c r="F626" s="709" t="str">
        <f t="shared" si="42"/>
        <v>DE.CM-13</v>
      </c>
      <c r="G626" s="709" t="str">
        <f t="shared" ca="1" si="43"/>
        <v>DE.CM-130</v>
      </c>
    </row>
    <row r="627" spans="1:7" x14ac:dyDescent="0.25">
      <c r="A627" t="s">
        <v>232</v>
      </c>
      <c r="B627" s="615">
        <v>3</v>
      </c>
      <c r="C627" t="s">
        <v>1830</v>
      </c>
      <c r="D627" t="s">
        <v>1855</v>
      </c>
      <c r="E627" s="615">
        <f ca="1">VLOOKUP(A627,Data!C:I,7,FALSE)</f>
        <v>0</v>
      </c>
      <c r="F627" s="709" t="str">
        <f t="shared" si="42"/>
        <v>DE.CM-23</v>
      </c>
      <c r="G627" s="709" t="str">
        <f t="shared" ca="1" si="43"/>
        <v>DE.CM-230</v>
      </c>
    </row>
    <row r="628" spans="1:7" x14ac:dyDescent="0.25">
      <c r="A628" t="s">
        <v>232</v>
      </c>
      <c r="B628" s="615">
        <v>3</v>
      </c>
      <c r="C628" t="s">
        <v>1830</v>
      </c>
      <c r="D628" t="s">
        <v>1851</v>
      </c>
      <c r="E628" s="615">
        <f ca="1">VLOOKUP(A628,Data!C:I,7,FALSE)</f>
        <v>0</v>
      </c>
      <c r="F628" s="709" t="str">
        <f t="shared" si="42"/>
        <v>DE.CM-33</v>
      </c>
      <c r="G628" s="709" t="str">
        <f t="shared" ca="1" si="43"/>
        <v>DE.CM-330</v>
      </c>
    </row>
    <row r="629" spans="1:7" x14ac:dyDescent="0.25">
      <c r="A629" t="s">
        <v>232</v>
      </c>
      <c r="B629" s="615">
        <v>3</v>
      </c>
      <c r="C629" t="s">
        <v>1830</v>
      </c>
      <c r="D629" t="s">
        <v>1852</v>
      </c>
      <c r="E629" s="615">
        <f ca="1">VLOOKUP(A629,Data!C:I,7,FALSE)</f>
        <v>0</v>
      </c>
      <c r="F629" s="709" t="str">
        <f t="shared" si="42"/>
        <v>DE.CM-63</v>
      </c>
      <c r="G629" s="709" t="str">
        <f t="shared" ca="1" si="43"/>
        <v>DE.CM-630</v>
      </c>
    </row>
    <row r="630" spans="1:7" x14ac:dyDescent="0.25">
      <c r="A630" t="s">
        <v>232</v>
      </c>
      <c r="B630" s="615">
        <v>3</v>
      </c>
      <c r="C630" t="s">
        <v>1830</v>
      </c>
      <c r="D630" t="s">
        <v>1853</v>
      </c>
      <c r="E630" s="615">
        <f ca="1">VLOOKUP(A630,Data!C:I,7,FALSE)</f>
        <v>0</v>
      </c>
      <c r="F630" s="709" t="str">
        <f t="shared" si="42"/>
        <v>DE.CM-73</v>
      </c>
      <c r="G630" s="709" t="str">
        <f t="shared" ca="1" si="43"/>
        <v>DE.CM-730</v>
      </c>
    </row>
    <row r="631" spans="1:7" x14ac:dyDescent="0.25">
      <c r="A631" t="s">
        <v>233</v>
      </c>
      <c r="B631" s="615">
        <v>3</v>
      </c>
      <c r="C631" t="s">
        <v>1830</v>
      </c>
      <c r="D631" t="s">
        <v>1865</v>
      </c>
      <c r="E631" s="615">
        <f ca="1">VLOOKUP(A631,Data!C:I,7,FALSE)</f>
        <v>0</v>
      </c>
      <c r="F631" s="709" t="str">
        <f t="shared" si="42"/>
        <v>DE.CM-13</v>
      </c>
      <c r="G631" s="709" t="str">
        <f t="shared" ca="1" si="43"/>
        <v>DE.CM-130</v>
      </c>
    </row>
    <row r="632" spans="1:7" x14ac:dyDescent="0.25">
      <c r="A632" t="s">
        <v>233</v>
      </c>
      <c r="B632" s="615">
        <v>3</v>
      </c>
      <c r="C632" t="s">
        <v>1830</v>
      </c>
      <c r="D632" t="s">
        <v>1855</v>
      </c>
      <c r="E632" s="615">
        <f ca="1">VLOOKUP(A632,Data!C:I,7,FALSE)</f>
        <v>0</v>
      </c>
      <c r="F632" s="709" t="str">
        <f t="shared" si="42"/>
        <v>DE.CM-23</v>
      </c>
      <c r="G632" s="709" t="str">
        <f t="shared" ca="1" si="43"/>
        <v>DE.CM-230</v>
      </c>
    </row>
    <row r="633" spans="1:7" x14ac:dyDescent="0.25">
      <c r="A633" t="s">
        <v>233</v>
      </c>
      <c r="B633" s="615">
        <v>3</v>
      </c>
      <c r="C633" t="s">
        <v>1830</v>
      </c>
      <c r="D633" t="s">
        <v>1851</v>
      </c>
      <c r="E633" s="615">
        <f ca="1">VLOOKUP(A633,Data!C:I,7,FALSE)</f>
        <v>0</v>
      </c>
      <c r="F633" s="709" t="str">
        <f t="shared" si="42"/>
        <v>DE.CM-33</v>
      </c>
      <c r="G633" s="709" t="str">
        <f t="shared" ca="1" si="43"/>
        <v>DE.CM-330</v>
      </c>
    </row>
    <row r="634" spans="1:7" x14ac:dyDescent="0.25">
      <c r="A634" t="s">
        <v>233</v>
      </c>
      <c r="B634" s="615">
        <v>3</v>
      </c>
      <c r="C634" t="s">
        <v>1830</v>
      </c>
      <c r="D634" t="s">
        <v>1869</v>
      </c>
      <c r="E634" s="615">
        <f ca="1">VLOOKUP(A634,Data!C:I,7,FALSE)</f>
        <v>0</v>
      </c>
      <c r="F634" s="709" t="str">
        <f t="shared" si="42"/>
        <v>DE.CM-43</v>
      </c>
      <c r="G634" s="709" t="str">
        <f t="shared" ca="1" si="43"/>
        <v>DE.CM-430</v>
      </c>
    </row>
    <row r="635" spans="1:7" x14ac:dyDescent="0.25">
      <c r="A635" t="s">
        <v>233</v>
      </c>
      <c r="B635" s="615">
        <v>3</v>
      </c>
      <c r="C635" t="s">
        <v>1830</v>
      </c>
      <c r="D635" t="s">
        <v>1873</v>
      </c>
      <c r="E635" s="615">
        <f ca="1">VLOOKUP(A635,Data!C:I,7,FALSE)</f>
        <v>0</v>
      </c>
      <c r="F635" s="709" t="str">
        <f t="shared" si="42"/>
        <v>DE.CM-53</v>
      </c>
      <c r="G635" s="709" t="str">
        <f t="shared" ca="1" si="43"/>
        <v>DE.CM-530</v>
      </c>
    </row>
    <row r="636" spans="1:7" x14ac:dyDescent="0.25">
      <c r="A636" t="s">
        <v>233</v>
      </c>
      <c r="B636" s="615">
        <v>3</v>
      </c>
      <c r="C636" t="s">
        <v>1830</v>
      </c>
      <c r="D636" t="s">
        <v>1852</v>
      </c>
      <c r="E636" s="615">
        <f ca="1">VLOOKUP(A636,Data!C:I,7,FALSE)</f>
        <v>0</v>
      </c>
      <c r="F636" s="709" t="str">
        <f t="shared" si="42"/>
        <v>DE.CM-63</v>
      </c>
      <c r="G636" s="709" t="str">
        <f t="shared" ca="1" si="43"/>
        <v>DE.CM-630</v>
      </c>
    </row>
    <row r="637" spans="1:7" x14ac:dyDescent="0.25">
      <c r="A637" t="s">
        <v>233</v>
      </c>
      <c r="B637" s="615">
        <v>3</v>
      </c>
      <c r="C637" t="s">
        <v>1830</v>
      </c>
      <c r="D637" t="s">
        <v>1853</v>
      </c>
      <c r="E637" s="615">
        <f ca="1">VLOOKUP(A637,Data!C:I,7,FALSE)</f>
        <v>0</v>
      </c>
      <c r="F637" s="709" t="str">
        <f t="shared" si="42"/>
        <v>DE.CM-73</v>
      </c>
      <c r="G637" s="709" t="str">
        <f t="shared" ca="1" si="43"/>
        <v>DE.CM-730</v>
      </c>
    </row>
    <row r="638" spans="1:7" x14ac:dyDescent="0.25">
      <c r="A638" t="s">
        <v>233</v>
      </c>
      <c r="B638" s="615">
        <v>3</v>
      </c>
      <c r="C638" t="s">
        <v>1829</v>
      </c>
      <c r="D638" t="s">
        <v>1866</v>
      </c>
      <c r="E638" s="615">
        <f ca="1">VLOOKUP(A638,Data!C:I,7,FALSE)</f>
        <v>0</v>
      </c>
      <c r="F638" s="709" t="str">
        <f t="shared" si="42"/>
        <v>PR.DS-63</v>
      </c>
      <c r="G638" s="709" t="str">
        <f t="shared" ca="1" si="43"/>
        <v>PR.DS-630</v>
      </c>
    </row>
    <row r="639" spans="1:7" x14ac:dyDescent="0.25">
      <c r="A639" t="s">
        <v>234</v>
      </c>
      <c r="B639" s="615">
        <v>3</v>
      </c>
      <c r="C639" t="s">
        <v>1830</v>
      </c>
      <c r="D639" t="s">
        <v>1912</v>
      </c>
      <c r="E639" s="615">
        <f ca="1">VLOOKUP(A639,Data!C:I,7,FALSE)</f>
        <v>0</v>
      </c>
      <c r="F639" s="709" t="str">
        <f t="shared" si="42"/>
        <v>DE.AE-53</v>
      </c>
      <c r="G639" s="709" t="str">
        <f t="shared" ca="1" si="43"/>
        <v>DE.AE-530</v>
      </c>
    </row>
    <row r="640" spans="1:7" x14ac:dyDescent="0.25">
      <c r="A640" t="s">
        <v>235</v>
      </c>
      <c r="B640" s="615">
        <v>3</v>
      </c>
      <c r="C640" t="s">
        <v>1830</v>
      </c>
      <c r="D640" t="s">
        <v>1912</v>
      </c>
      <c r="E640" s="615">
        <f ca="1">VLOOKUP(A640,Data!C:I,7,FALSE)</f>
        <v>0</v>
      </c>
      <c r="F640" s="709" t="str">
        <f t="shared" si="42"/>
        <v>DE.AE-53</v>
      </c>
      <c r="G640" s="709" t="str">
        <f t="shared" ca="1" si="43"/>
        <v>DE.AE-530</v>
      </c>
    </row>
    <row r="641" spans="1:7" x14ac:dyDescent="0.25">
      <c r="A641" t="s">
        <v>235</v>
      </c>
      <c r="B641" s="615">
        <v>3</v>
      </c>
      <c r="C641" t="s">
        <v>1830</v>
      </c>
      <c r="D641" t="s">
        <v>1865</v>
      </c>
      <c r="E641" s="615">
        <f ca="1">VLOOKUP(A641,Data!C:I,7,FALSE)</f>
        <v>0</v>
      </c>
      <c r="F641" s="709" t="str">
        <f t="shared" si="42"/>
        <v>DE.CM-13</v>
      </c>
      <c r="G641" s="709" t="str">
        <f t="shared" ca="1" si="43"/>
        <v>DE.CM-130</v>
      </c>
    </row>
    <row r="642" spans="1:7" x14ac:dyDescent="0.25">
      <c r="A642" t="s">
        <v>235</v>
      </c>
      <c r="B642" s="615">
        <v>3</v>
      </c>
      <c r="C642" t="s">
        <v>1830</v>
      </c>
      <c r="D642" t="s">
        <v>1855</v>
      </c>
      <c r="E642" s="615">
        <f ca="1">VLOOKUP(A642,Data!C:I,7,FALSE)</f>
        <v>0</v>
      </c>
      <c r="F642" s="709" t="str">
        <f t="shared" si="42"/>
        <v>DE.CM-23</v>
      </c>
      <c r="G642" s="709" t="str">
        <f t="shared" ca="1" si="43"/>
        <v>DE.CM-230</v>
      </c>
    </row>
    <row r="643" spans="1:7" x14ac:dyDescent="0.25">
      <c r="A643" t="s">
        <v>235</v>
      </c>
      <c r="B643" s="615">
        <v>3</v>
      </c>
      <c r="C643" t="s">
        <v>1830</v>
      </c>
      <c r="D643" t="s">
        <v>1851</v>
      </c>
      <c r="E643" s="615">
        <f ca="1">VLOOKUP(A643,Data!C:I,7,FALSE)</f>
        <v>0</v>
      </c>
      <c r="F643" s="709" t="str">
        <f t="shared" ref="F643:F706" si="44">CONCATENATE($D643,$B643)</f>
        <v>DE.CM-33</v>
      </c>
      <c r="G643" s="709" t="str">
        <f t="shared" ref="G643:G706" ca="1" si="45">_xlfn.IFNA(CONCATENATE(F643,$E643),CONCATENATE(F643,$E643,0))</f>
        <v>DE.CM-330</v>
      </c>
    </row>
    <row r="644" spans="1:7" x14ac:dyDescent="0.25">
      <c r="A644" t="s">
        <v>235</v>
      </c>
      <c r="B644" s="615">
        <v>3</v>
      </c>
      <c r="C644" t="s">
        <v>1830</v>
      </c>
      <c r="D644" t="s">
        <v>1869</v>
      </c>
      <c r="E644" s="615">
        <f ca="1">VLOOKUP(A644,Data!C:I,7,FALSE)</f>
        <v>0</v>
      </c>
      <c r="F644" s="709" t="str">
        <f t="shared" si="44"/>
        <v>DE.CM-43</v>
      </c>
      <c r="G644" s="709" t="str">
        <f t="shared" ca="1" si="45"/>
        <v>DE.CM-430</v>
      </c>
    </row>
    <row r="645" spans="1:7" x14ac:dyDescent="0.25">
      <c r="A645" t="s">
        <v>235</v>
      </c>
      <c r="B645" s="615">
        <v>3</v>
      </c>
      <c r="C645" t="s">
        <v>1830</v>
      </c>
      <c r="D645" t="s">
        <v>1873</v>
      </c>
      <c r="E645" s="615">
        <f ca="1">VLOOKUP(A645,Data!C:I,7,FALSE)</f>
        <v>0</v>
      </c>
      <c r="F645" s="709" t="str">
        <f t="shared" si="44"/>
        <v>DE.CM-53</v>
      </c>
      <c r="G645" s="709" t="str">
        <f t="shared" ca="1" si="45"/>
        <v>DE.CM-530</v>
      </c>
    </row>
    <row r="646" spans="1:7" x14ac:dyDescent="0.25">
      <c r="A646" t="s">
        <v>235</v>
      </c>
      <c r="B646" s="615">
        <v>3</v>
      </c>
      <c r="C646" t="s">
        <v>1830</v>
      </c>
      <c r="D646" t="s">
        <v>1852</v>
      </c>
      <c r="E646" s="615">
        <f ca="1">VLOOKUP(A646,Data!C:I,7,FALSE)</f>
        <v>0</v>
      </c>
      <c r="F646" s="709" t="str">
        <f t="shared" si="44"/>
        <v>DE.CM-63</v>
      </c>
      <c r="G646" s="709" t="str">
        <f t="shared" ca="1" si="45"/>
        <v>DE.CM-630</v>
      </c>
    </row>
    <row r="647" spans="1:7" x14ac:dyDescent="0.25">
      <c r="A647" t="s">
        <v>235</v>
      </c>
      <c r="B647" s="615">
        <v>3</v>
      </c>
      <c r="C647" t="s">
        <v>1830</v>
      </c>
      <c r="D647" t="s">
        <v>1853</v>
      </c>
      <c r="E647" s="615">
        <f ca="1">VLOOKUP(A647,Data!C:I,7,FALSE)</f>
        <v>0</v>
      </c>
      <c r="F647" s="709" t="str">
        <f t="shared" si="44"/>
        <v>DE.CM-73</v>
      </c>
      <c r="G647" s="709" t="str">
        <f t="shared" ca="1" si="45"/>
        <v>DE.CM-730</v>
      </c>
    </row>
    <row r="648" spans="1:7" x14ac:dyDescent="0.25">
      <c r="A648" t="s">
        <v>237</v>
      </c>
      <c r="B648" s="615">
        <v>2</v>
      </c>
      <c r="C648" t="s">
        <v>1830</v>
      </c>
      <c r="D648" t="s">
        <v>1905</v>
      </c>
      <c r="E648" s="615">
        <f ca="1">VLOOKUP(A648,Data!C:I,7,FALSE)</f>
        <v>0</v>
      </c>
      <c r="F648" s="709" t="str">
        <f t="shared" si="44"/>
        <v>DE.AE-32</v>
      </c>
      <c r="G648" s="709" t="str">
        <f t="shared" ca="1" si="45"/>
        <v>DE.AE-320</v>
      </c>
    </row>
    <row r="649" spans="1:7" x14ac:dyDescent="0.25">
      <c r="A649" t="s">
        <v>240</v>
      </c>
      <c r="B649" s="615">
        <v>3</v>
      </c>
      <c r="C649" t="s">
        <v>1830</v>
      </c>
      <c r="D649" t="s">
        <v>1905</v>
      </c>
      <c r="E649" s="615">
        <f ca="1">VLOOKUP(A649,Data!C:I,7,FALSE)</f>
        <v>0</v>
      </c>
      <c r="F649" s="709" t="str">
        <f t="shared" si="44"/>
        <v>DE.AE-33</v>
      </c>
      <c r="G649" s="709" t="str">
        <f t="shared" ca="1" si="45"/>
        <v>DE.AE-330</v>
      </c>
    </row>
    <row r="650" spans="1:7" x14ac:dyDescent="0.25">
      <c r="A650" t="s">
        <v>241</v>
      </c>
      <c r="B650" s="615">
        <v>3</v>
      </c>
      <c r="C650" t="s">
        <v>1831</v>
      </c>
      <c r="D650" t="s">
        <v>1903</v>
      </c>
      <c r="E650" s="615">
        <f ca="1">VLOOKUP(A650,Data!C:I,7,FALSE)</f>
        <v>0</v>
      </c>
      <c r="F650" s="709" t="str">
        <f t="shared" si="44"/>
        <v>RS.CO-33</v>
      </c>
      <c r="G650" s="709" t="str">
        <f t="shared" ca="1" si="45"/>
        <v>RS.CO-330</v>
      </c>
    </row>
    <row r="651" spans="1:7" x14ac:dyDescent="0.25">
      <c r="A651" t="s">
        <v>241</v>
      </c>
      <c r="B651" s="615">
        <v>3</v>
      </c>
      <c r="C651" t="s">
        <v>1831</v>
      </c>
      <c r="D651" t="s">
        <v>1934</v>
      </c>
      <c r="E651" s="615">
        <f ca="1">VLOOKUP(A651,Data!C:I,7,FALSE)</f>
        <v>0</v>
      </c>
      <c r="F651" s="709" t="str">
        <f t="shared" si="44"/>
        <v>RS.CO-53</v>
      </c>
      <c r="G651" s="709" t="str">
        <f t="shared" ca="1" si="45"/>
        <v>RS.CO-530</v>
      </c>
    </row>
    <row r="652" spans="1:7" x14ac:dyDescent="0.25">
      <c r="A652" t="s">
        <v>242</v>
      </c>
      <c r="B652" s="615">
        <v>3</v>
      </c>
      <c r="C652" t="s">
        <v>1831</v>
      </c>
      <c r="D652" t="s">
        <v>1934</v>
      </c>
      <c r="E652" s="615">
        <f ca="1">VLOOKUP(A652,Data!C:I,7,FALSE)</f>
        <v>0</v>
      </c>
      <c r="F652" s="709" t="str">
        <f t="shared" si="44"/>
        <v>RS.CO-53</v>
      </c>
      <c r="G652" s="709" t="str">
        <f t="shared" ca="1" si="45"/>
        <v>RS.CO-530</v>
      </c>
    </row>
    <row r="653" spans="1:7" x14ac:dyDescent="0.25">
      <c r="A653" t="s">
        <v>245</v>
      </c>
      <c r="B653" s="615">
        <v>2</v>
      </c>
      <c r="C653" t="s">
        <v>1829</v>
      </c>
      <c r="D653" t="s">
        <v>1856</v>
      </c>
      <c r="E653" s="615">
        <f ca="1">VLOOKUP(A653,Data!C:I,7,FALSE)</f>
        <v>0</v>
      </c>
      <c r="F653" s="709" t="str">
        <f t="shared" si="44"/>
        <v>PR.PT-12</v>
      </c>
      <c r="G653" s="709" t="str">
        <f t="shared" ca="1" si="45"/>
        <v>PR.PT-120</v>
      </c>
    </row>
    <row r="654" spans="1:7" x14ac:dyDescent="0.25">
      <c r="A654" t="s">
        <v>246</v>
      </c>
      <c r="B654" s="615">
        <v>2</v>
      </c>
      <c r="C654" t="s">
        <v>1829</v>
      </c>
      <c r="D654" t="s">
        <v>1856</v>
      </c>
      <c r="E654" s="615">
        <f ca="1">VLOOKUP(A654,Data!C:I,7,FALSE)</f>
        <v>0</v>
      </c>
      <c r="F654" s="709" t="str">
        <f t="shared" si="44"/>
        <v>PR.PT-12</v>
      </c>
      <c r="G654" s="709" t="str">
        <f t="shared" ca="1" si="45"/>
        <v>PR.PT-120</v>
      </c>
    </row>
    <row r="655" spans="1:7" x14ac:dyDescent="0.25">
      <c r="A655" t="s">
        <v>247</v>
      </c>
      <c r="B655" s="615">
        <v>3</v>
      </c>
      <c r="C655" t="s">
        <v>1829</v>
      </c>
      <c r="D655" t="s">
        <v>1856</v>
      </c>
      <c r="E655" s="615">
        <f ca="1">VLOOKUP(A655,Data!C:I,7,FALSE)</f>
        <v>0</v>
      </c>
      <c r="F655" s="709" t="str">
        <f t="shared" si="44"/>
        <v>PR.PT-13</v>
      </c>
      <c r="G655" s="709" t="str">
        <f t="shared" ca="1" si="45"/>
        <v>PR.PT-130</v>
      </c>
    </row>
    <row r="656" spans="1:7" x14ac:dyDescent="0.25">
      <c r="A656" t="s">
        <v>249</v>
      </c>
      <c r="B656" s="615">
        <v>3</v>
      </c>
      <c r="C656" t="s">
        <v>507</v>
      </c>
      <c r="D656" t="s">
        <v>1857</v>
      </c>
      <c r="E656" s="615">
        <f ca="1">VLOOKUP(A656,Data!C:I,7,FALSE)</f>
        <v>0</v>
      </c>
      <c r="F656" s="709" t="str">
        <f t="shared" si="44"/>
        <v>ID.AM-63</v>
      </c>
      <c r="G656" s="709" t="str">
        <f t="shared" ca="1" si="45"/>
        <v>ID.AM-630</v>
      </c>
    </row>
    <row r="657" spans="1:7" x14ac:dyDescent="0.25">
      <c r="A657" t="s">
        <v>249</v>
      </c>
      <c r="B657" s="615">
        <v>3</v>
      </c>
      <c r="C657" t="s">
        <v>507</v>
      </c>
      <c r="D657" t="s">
        <v>1858</v>
      </c>
      <c r="E657" s="615">
        <f ca="1">VLOOKUP(A657,Data!C:I,7,FALSE)</f>
        <v>0</v>
      </c>
      <c r="F657" s="709" t="str">
        <f t="shared" si="44"/>
        <v>ID.GV-23</v>
      </c>
      <c r="G657" s="709" t="str">
        <f t="shared" ca="1" si="45"/>
        <v>ID.GV-230</v>
      </c>
    </row>
    <row r="658" spans="1:7" x14ac:dyDescent="0.25">
      <c r="A658" t="s">
        <v>250</v>
      </c>
      <c r="B658" s="615">
        <v>3</v>
      </c>
      <c r="C658" t="s">
        <v>1829</v>
      </c>
      <c r="D658" t="s">
        <v>1859</v>
      </c>
      <c r="E658" s="615">
        <f ca="1">VLOOKUP(A658,Data!C:I,7,FALSE)</f>
        <v>0</v>
      </c>
      <c r="F658" s="709" t="str">
        <f t="shared" si="44"/>
        <v>PR.IP-83</v>
      </c>
      <c r="G658" s="709" t="str">
        <f t="shared" ca="1" si="45"/>
        <v>PR.IP-830</v>
      </c>
    </row>
    <row r="659" spans="1:7" x14ac:dyDescent="0.25">
      <c r="A659" t="s">
        <v>1122</v>
      </c>
      <c r="B659" s="615">
        <v>1</v>
      </c>
      <c r="C659" t="s">
        <v>507</v>
      </c>
      <c r="D659" t="s">
        <v>1888</v>
      </c>
      <c r="E659" s="615">
        <f ca="1">VLOOKUP(A659,Data!C:I,7,FALSE)</f>
        <v>0</v>
      </c>
      <c r="F659" s="709" t="str">
        <f t="shared" si="44"/>
        <v>ID.AM-41</v>
      </c>
      <c r="G659" s="709" t="str">
        <f t="shared" ca="1" si="45"/>
        <v>ID.AM-410</v>
      </c>
    </row>
    <row r="660" spans="1:7" x14ac:dyDescent="0.25">
      <c r="A660" t="s">
        <v>1122</v>
      </c>
      <c r="B660" s="615">
        <v>1</v>
      </c>
      <c r="C660" t="s">
        <v>507</v>
      </c>
      <c r="D660" t="s">
        <v>1889</v>
      </c>
      <c r="E660" s="615">
        <f ca="1">VLOOKUP(A660,Data!C:I,7,FALSE)</f>
        <v>0</v>
      </c>
      <c r="F660" s="709" t="str">
        <f t="shared" si="44"/>
        <v>ID.BE-11</v>
      </c>
      <c r="G660" s="709" t="str">
        <f t="shared" ca="1" si="45"/>
        <v>ID.BE-110</v>
      </c>
    </row>
    <row r="661" spans="1:7" x14ac:dyDescent="0.25">
      <c r="A661" t="s">
        <v>1122</v>
      </c>
      <c r="B661" s="615">
        <v>1</v>
      </c>
      <c r="C661" t="s">
        <v>507</v>
      </c>
      <c r="D661" t="s">
        <v>1879</v>
      </c>
      <c r="E661" s="615">
        <f ca="1">VLOOKUP(A661,Data!C:I,7,FALSE)</f>
        <v>0</v>
      </c>
      <c r="F661" s="709" t="str">
        <f t="shared" si="44"/>
        <v>ID.BE-41</v>
      </c>
      <c r="G661" s="709" t="str">
        <f t="shared" ca="1" si="45"/>
        <v>ID.BE-410</v>
      </c>
    </row>
    <row r="662" spans="1:7" x14ac:dyDescent="0.25">
      <c r="A662" t="s">
        <v>1122</v>
      </c>
      <c r="B662" s="615">
        <v>1</v>
      </c>
      <c r="C662" t="s">
        <v>507</v>
      </c>
      <c r="D662" t="s">
        <v>1871</v>
      </c>
      <c r="E662" s="615">
        <f ca="1">VLOOKUP(A662,Data!C:I,7,FALSE)</f>
        <v>0</v>
      </c>
      <c r="F662" s="709" t="str">
        <f t="shared" si="44"/>
        <v>ID.SC-21</v>
      </c>
      <c r="G662" s="709" t="str">
        <f t="shared" ca="1" si="45"/>
        <v>ID.SC-210</v>
      </c>
    </row>
    <row r="663" spans="1:7" x14ac:dyDescent="0.25">
      <c r="A663" t="s">
        <v>1123</v>
      </c>
      <c r="B663" s="615">
        <v>1</v>
      </c>
      <c r="C663" t="s">
        <v>507</v>
      </c>
      <c r="D663" t="s">
        <v>1888</v>
      </c>
      <c r="E663" s="615">
        <f ca="1">VLOOKUP(A663,Data!C:I,7,FALSE)</f>
        <v>0</v>
      </c>
      <c r="F663" s="709" t="str">
        <f t="shared" si="44"/>
        <v>ID.AM-41</v>
      </c>
      <c r="G663" s="709" t="str">
        <f t="shared" ca="1" si="45"/>
        <v>ID.AM-410</v>
      </c>
    </row>
    <row r="664" spans="1:7" x14ac:dyDescent="0.25">
      <c r="A664" t="s">
        <v>1123</v>
      </c>
      <c r="B664" s="615">
        <v>1</v>
      </c>
      <c r="C664" t="s">
        <v>507</v>
      </c>
      <c r="D664" t="s">
        <v>1889</v>
      </c>
      <c r="E664" s="615">
        <f ca="1">VLOOKUP(A664,Data!C:I,7,FALSE)</f>
        <v>0</v>
      </c>
      <c r="F664" s="709" t="str">
        <f t="shared" si="44"/>
        <v>ID.BE-11</v>
      </c>
      <c r="G664" s="709" t="str">
        <f t="shared" ca="1" si="45"/>
        <v>ID.BE-110</v>
      </c>
    </row>
    <row r="665" spans="1:7" x14ac:dyDescent="0.25">
      <c r="A665" t="s">
        <v>1123</v>
      </c>
      <c r="B665" s="615">
        <v>1</v>
      </c>
      <c r="C665" t="s">
        <v>507</v>
      </c>
      <c r="D665" t="s">
        <v>1879</v>
      </c>
      <c r="E665" s="615">
        <f ca="1">VLOOKUP(A665,Data!C:I,7,FALSE)</f>
        <v>0</v>
      </c>
      <c r="F665" s="709" t="str">
        <f t="shared" si="44"/>
        <v>ID.BE-41</v>
      </c>
      <c r="G665" s="709" t="str">
        <f t="shared" ca="1" si="45"/>
        <v>ID.BE-410</v>
      </c>
    </row>
    <row r="666" spans="1:7" x14ac:dyDescent="0.25">
      <c r="A666" t="s">
        <v>1123</v>
      </c>
      <c r="B666" s="615">
        <v>1</v>
      </c>
      <c r="C666" t="s">
        <v>507</v>
      </c>
      <c r="D666" t="s">
        <v>1871</v>
      </c>
      <c r="E666" s="615">
        <f ca="1">VLOOKUP(A666,Data!C:I,7,FALSE)</f>
        <v>0</v>
      </c>
      <c r="F666" s="709" t="str">
        <f t="shared" si="44"/>
        <v>ID.SC-21</v>
      </c>
      <c r="G666" s="709" t="str">
        <f t="shared" ca="1" si="45"/>
        <v>ID.SC-210</v>
      </c>
    </row>
    <row r="667" spans="1:7" x14ac:dyDescent="0.25">
      <c r="A667" t="s">
        <v>1124</v>
      </c>
      <c r="B667" s="615">
        <v>2</v>
      </c>
      <c r="C667" t="s">
        <v>507</v>
      </c>
      <c r="D667" t="s">
        <v>1889</v>
      </c>
      <c r="E667" s="615">
        <f ca="1">VLOOKUP(A667,Data!C:I,7,FALSE)</f>
        <v>0</v>
      </c>
      <c r="F667" s="709" t="str">
        <f t="shared" si="44"/>
        <v>ID.BE-12</v>
      </c>
      <c r="G667" s="709" t="str">
        <f t="shared" ca="1" si="45"/>
        <v>ID.BE-120</v>
      </c>
    </row>
    <row r="668" spans="1:7" x14ac:dyDescent="0.25">
      <c r="A668" t="s">
        <v>1124</v>
      </c>
      <c r="B668" s="615">
        <v>2</v>
      </c>
      <c r="C668" t="s">
        <v>507</v>
      </c>
      <c r="D668" t="s">
        <v>1879</v>
      </c>
      <c r="E668" s="615">
        <f ca="1">VLOOKUP(A668,Data!C:I,7,FALSE)</f>
        <v>0</v>
      </c>
      <c r="F668" s="709" t="str">
        <f t="shared" si="44"/>
        <v>ID.BE-42</v>
      </c>
      <c r="G668" s="709" t="str">
        <f t="shared" ca="1" si="45"/>
        <v>ID.BE-420</v>
      </c>
    </row>
    <row r="669" spans="1:7" x14ac:dyDescent="0.25">
      <c r="A669" t="s">
        <v>1124</v>
      </c>
      <c r="B669" s="615">
        <v>2</v>
      </c>
      <c r="C669" t="s">
        <v>507</v>
      </c>
      <c r="D669" t="s">
        <v>1871</v>
      </c>
      <c r="E669" s="615">
        <f ca="1">VLOOKUP(A669,Data!C:I,7,FALSE)</f>
        <v>0</v>
      </c>
      <c r="F669" s="709" t="str">
        <f t="shared" si="44"/>
        <v>ID.SC-22</v>
      </c>
      <c r="G669" s="709" t="str">
        <f t="shared" ca="1" si="45"/>
        <v>ID.SC-220</v>
      </c>
    </row>
    <row r="670" spans="1:7" x14ac:dyDescent="0.25">
      <c r="A670" t="s">
        <v>1125</v>
      </c>
      <c r="B670" s="615">
        <v>2</v>
      </c>
      <c r="C670" t="s">
        <v>507</v>
      </c>
      <c r="D670" t="s">
        <v>1879</v>
      </c>
      <c r="E670" s="615">
        <f ca="1">VLOOKUP(A670,Data!C:I,7,FALSE)</f>
        <v>0</v>
      </c>
      <c r="F670" s="709" t="str">
        <f t="shared" si="44"/>
        <v>ID.BE-42</v>
      </c>
      <c r="G670" s="709" t="str">
        <f t="shared" ca="1" si="45"/>
        <v>ID.BE-420</v>
      </c>
    </row>
    <row r="671" spans="1:7" x14ac:dyDescent="0.25">
      <c r="A671" t="s">
        <v>1125</v>
      </c>
      <c r="B671" s="615">
        <v>2</v>
      </c>
      <c r="C671" t="s">
        <v>507</v>
      </c>
      <c r="D671" t="s">
        <v>1871</v>
      </c>
      <c r="E671" s="615">
        <f ca="1">VLOOKUP(A671,Data!C:I,7,FALSE)</f>
        <v>0</v>
      </c>
      <c r="F671" s="709" t="str">
        <f t="shared" si="44"/>
        <v>ID.SC-22</v>
      </c>
      <c r="G671" s="709" t="str">
        <f t="shared" ca="1" si="45"/>
        <v>ID.SC-220</v>
      </c>
    </row>
    <row r="672" spans="1:7" x14ac:dyDescent="0.25">
      <c r="A672" t="s">
        <v>1126</v>
      </c>
      <c r="B672" s="615">
        <v>3</v>
      </c>
      <c r="C672" t="s">
        <v>507</v>
      </c>
      <c r="D672" t="s">
        <v>1879</v>
      </c>
      <c r="E672" s="615">
        <f ca="1">VLOOKUP(A672,Data!C:I,7,FALSE)</f>
        <v>0</v>
      </c>
      <c r="F672" s="709" t="str">
        <f t="shared" si="44"/>
        <v>ID.BE-43</v>
      </c>
      <c r="G672" s="709" t="str">
        <f t="shared" ca="1" si="45"/>
        <v>ID.BE-430</v>
      </c>
    </row>
    <row r="673" spans="1:7" x14ac:dyDescent="0.25">
      <c r="A673" t="s">
        <v>1126</v>
      </c>
      <c r="B673" s="615">
        <v>3</v>
      </c>
      <c r="C673" t="s">
        <v>507</v>
      </c>
      <c r="D673" t="s">
        <v>1871</v>
      </c>
      <c r="E673" s="615">
        <f ca="1">VLOOKUP(A673,Data!C:I,7,FALSE)</f>
        <v>0</v>
      </c>
      <c r="F673" s="709" t="str">
        <f t="shared" si="44"/>
        <v>ID.SC-23</v>
      </c>
      <c r="G673" s="709" t="str">
        <f t="shared" ca="1" si="45"/>
        <v>ID.SC-230</v>
      </c>
    </row>
    <row r="674" spans="1:7" x14ac:dyDescent="0.25">
      <c r="A674" t="s">
        <v>1128</v>
      </c>
      <c r="B674" s="615">
        <v>1</v>
      </c>
      <c r="C674" t="s">
        <v>507</v>
      </c>
      <c r="D674" t="s">
        <v>1891</v>
      </c>
      <c r="E674" s="615">
        <f ca="1">VLOOKUP(A674,Data!C:I,7,FALSE)</f>
        <v>0</v>
      </c>
      <c r="F674" s="709" t="str">
        <f t="shared" si="44"/>
        <v>ID.SC-11</v>
      </c>
      <c r="G674" s="709" t="str">
        <f t="shared" ca="1" si="45"/>
        <v>ID.SC-110</v>
      </c>
    </row>
    <row r="675" spans="1:7" x14ac:dyDescent="0.25">
      <c r="A675" t="s">
        <v>1128</v>
      </c>
      <c r="B675" s="615">
        <v>1</v>
      </c>
      <c r="C675" t="s">
        <v>507</v>
      </c>
      <c r="D675" t="s">
        <v>1935</v>
      </c>
      <c r="E675" s="615">
        <f ca="1">VLOOKUP(A675,Data!C:I,7,FALSE)</f>
        <v>0</v>
      </c>
      <c r="F675" s="709" t="str">
        <f t="shared" si="44"/>
        <v>ID.SC-31</v>
      </c>
      <c r="G675" s="709" t="str">
        <f t="shared" ca="1" si="45"/>
        <v>ID.SC-310</v>
      </c>
    </row>
    <row r="676" spans="1:7" x14ac:dyDescent="0.25">
      <c r="A676" t="s">
        <v>1129</v>
      </c>
      <c r="B676" s="615">
        <v>1</v>
      </c>
      <c r="C676" t="s">
        <v>507</v>
      </c>
      <c r="D676" t="s">
        <v>1891</v>
      </c>
      <c r="E676" s="615">
        <f ca="1">VLOOKUP(A676,Data!C:I,7,FALSE)</f>
        <v>0</v>
      </c>
      <c r="F676" s="709" t="str">
        <f t="shared" si="44"/>
        <v>ID.SC-11</v>
      </c>
      <c r="G676" s="709" t="str">
        <f t="shared" ca="1" si="45"/>
        <v>ID.SC-110</v>
      </c>
    </row>
    <row r="677" spans="1:7" x14ac:dyDescent="0.25">
      <c r="A677" t="s">
        <v>1129</v>
      </c>
      <c r="B677" s="615">
        <v>1</v>
      </c>
      <c r="C677" t="s">
        <v>507</v>
      </c>
      <c r="D677" t="s">
        <v>1935</v>
      </c>
      <c r="E677" s="615">
        <f ca="1">VLOOKUP(A677,Data!C:I,7,FALSE)</f>
        <v>0</v>
      </c>
      <c r="F677" s="709" t="str">
        <f t="shared" si="44"/>
        <v>ID.SC-31</v>
      </c>
      <c r="G677" s="709" t="str">
        <f t="shared" ca="1" si="45"/>
        <v>ID.SC-310</v>
      </c>
    </row>
    <row r="678" spans="1:7" x14ac:dyDescent="0.25">
      <c r="A678" t="s">
        <v>1130</v>
      </c>
      <c r="B678" s="615">
        <v>2</v>
      </c>
      <c r="C678" t="s">
        <v>507</v>
      </c>
      <c r="D678" t="s">
        <v>1891</v>
      </c>
      <c r="E678" s="615">
        <f ca="1">VLOOKUP(A678,Data!C:I,7,FALSE)</f>
        <v>0</v>
      </c>
      <c r="F678" s="709" t="str">
        <f t="shared" si="44"/>
        <v>ID.SC-12</v>
      </c>
      <c r="G678" s="709" t="str">
        <f t="shared" ca="1" si="45"/>
        <v>ID.SC-120</v>
      </c>
    </row>
    <row r="679" spans="1:7" x14ac:dyDescent="0.25">
      <c r="A679" t="s">
        <v>1130</v>
      </c>
      <c r="B679" s="615">
        <v>2</v>
      </c>
      <c r="C679" t="s">
        <v>507</v>
      </c>
      <c r="D679" t="s">
        <v>1935</v>
      </c>
      <c r="E679" s="615">
        <f ca="1">VLOOKUP(A679,Data!C:I,7,FALSE)</f>
        <v>0</v>
      </c>
      <c r="F679" s="709" t="str">
        <f t="shared" si="44"/>
        <v>ID.SC-32</v>
      </c>
      <c r="G679" s="709" t="str">
        <f t="shared" ca="1" si="45"/>
        <v>ID.SC-320</v>
      </c>
    </row>
    <row r="680" spans="1:7" x14ac:dyDescent="0.25">
      <c r="A680" t="s">
        <v>1131</v>
      </c>
      <c r="B680" s="615">
        <v>2</v>
      </c>
      <c r="C680" t="s">
        <v>507</v>
      </c>
      <c r="D680" t="s">
        <v>1891</v>
      </c>
      <c r="E680" s="615">
        <f ca="1">VLOOKUP(A680,Data!C:I,7,FALSE)</f>
        <v>0</v>
      </c>
      <c r="F680" s="709" t="str">
        <f t="shared" si="44"/>
        <v>ID.SC-12</v>
      </c>
      <c r="G680" s="709" t="str">
        <f t="shared" ca="1" si="45"/>
        <v>ID.SC-120</v>
      </c>
    </row>
    <row r="681" spans="1:7" x14ac:dyDescent="0.25">
      <c r="A681" t="s">
        <v>1131</v>
      </c>
      <c r="B681" s="615">
        <v>2</v>
      </c>
      <c r="C681" t="s">
        <v>507</v>
      </c>
      <c r="D681" t="s">
        <v>1935</v>
      </c>
      <c r="E681" s="615">
        <f ca="1">VLOOKUP(A681,Data!C:I,7,FALSE)</f>
        <v>0</v>
      </c>
      <c r="F681" s="709" t="str">
        <f t="shared" si="44"/>
        <v>ID.SC-32</v>
      </c>
      <c r="G681" s="709" t="str">
        <f t="shared" ca="1" si="45"/>
        <v>ID.SC-320</v>
      </c>
    </row>
    <row r="682" spans="1:7" x14ac:dyDescent="0.25">
      <c r="A682" t="s">
        <v>1131</v>
      </c>
      <c r="B682" s="615">
        <v>2</v>
      </c>
      <c r="C682" t="s">
        <v>507</v>
      </c>
      <c r="D682" t="s">
        <v>1936</v>
      </c>
      <c r="E682" s="615">
        <f ca="1">VLOOKUP(A682,Data!C:I,7,FALSE)</f>
        <v>0</v>
      </c>
      <c r="F682" s="709" t="str">
        <f t="shared" si="44"/>
        <v>ID.SC-42</v>
      </c>
      <c r="G682" s="709" t="str">
        <f t="shared" ca="1" si="45"/>
        <v>ID.SC-420</v>
      </c>
    </row>
    <row r="683" spans="1:7" x14ac:dyDescent="0.25">
      <c r="A683" t="s">
        <v>1132</v>
      </c>
      <c r="B683" s="615">
        <v>2</v>
      </c>
      <c r="C683" t="s">
        <v>507</v>
      </c>
      <c r="D683" t="s">
        <v>1891</v>
      </c>
      <c r="E683" s="615">
        <f ca="1">VLOOKUP(A683,Data!C:I,7,FALSE)</f>
        <v>0</v>
      </c>
      <c r="F683" s="709" t="str">
        <f t="shared" si="44"/>
        <v>ID.SC-12</v>
      </c>
      <c r="G683" s="709" t="str">
        <f t="shared" ca="1" si="45"/>
        <v>ID.SC-120</v>
      </c>
    </row>
    <row r="684" spans="1:7" x14ac:dyDescent="0.25">
      <c r="A684" t="s">
        <v>1133</v>
      </c>
      <c r="B684" s="615">
        <v>2</v>
      </c>
      <c r="C684" t="s">
        <v>507</v>
      </c>
      <c r="D684" t="s">
        <v>1891</v>
      </c>
      <c r="E684" s="615">
        <f ca="1">VLOOKUP(A684,Data!C:I,7,FALSE)</f>
        <v>0</v>
      </c>
      <c r="F684" s="709" t="str">
        <f t="shared" si="44"/>
        <v>ID.SC-12</v>
      </c>
      <c r="G684" s="709" t="str">
        <f t="shared" ca="1" si="45"/>
        <v>ID.SC-120</v>
      </c>
    </row>
    <row r="685" spans="1:7" x14ac:dyDescent="0.25">
      <c r="A685" t="s">
        <v>1133</v>
      </c>
      <c r="B685" s="615">
        <v>2</v>
      </c>
      <c r="C685" t="s">
        <v>507</v>
      </c>
      <c r="D685" t="s">
        <v>1935</v>
      </c>
      <c r="E685" s="615">
        <f ca="1">VLOOKUP(A685,Data!C:I,7,FALSE)</f>
        <v>0</v>
      </c>
      <c r="F685" s="709" t="str">
        <f t="shared" si="44"/>
        <v>ID.SC-32</v>
      </c>
      <c r="G685" s="709" t="str">
        <f t="shared" ca="1" si="45"/>
        <v>ID.SC-320</v>
      </c>
    </row>
    <row r="686" spans="1:7" x14ac:dyDescent="0.25">
      <c r="A686" t="s">
        <v>1134</v>
      </c>
      <c r="B686" s="615">
        <v>2</v>
      </c>
      <c r="C686" t="s">
        <v>507</v>
      </c>
      <c r="D686" t="s">
        <v>1891</v>
      </c>
      <c r="E686" s="615">
        <f ca="1">VLOOKUP(A686,Data!C:I,7,FALSE)</f>
        <v>0</v>
      </c>
      <c r="F686" s="709" t="str">
        <f t="shared" si="44"/>
        <v>ID.SC-12</v>
      </c>
      <c r="G686" s="709" t="str">
        <f t="shared" ca="1" si="45"/>
        <v>ID.SC-120</v>
      </c>
    </row>
    <row r="687" spans="1:7" x14ac:dyDescent="0.25">
      <c r="A687" t="s">
        <v>1134</v>
      </c>
      <c r="B687" s="615">
        <v>2</v>
      </c>
      <c r="C687" t="s">
        <v>507</v>
      </c>
      <c r="D687" t="s">
        <v>1936</v>
      </c>
      <c r="E687" s="615">
        <f ca="1">VLOOKUP(A687,Data!C:I,7,FALSE)</f>
        <v>0</v>
      </c>
      <c r="F687" s="709" t="str">
        <f t="shared" si="44"/>
        <v>ID.SC-42</v>
      </c>
      <c r="G687" s="709" t="str">
        <f t="shared" ca="1" si="45"/>
        <v>ID.SC-420</v>
      </c>
    </row>
    <row r="688" spans="1:7" x14ac:dyDescent="0.25">
      <c r="A688" t="s">
        <v>1135</v>
      </c>
      <c r="B688" s="615">
        <v>3</v>
      </c>
      <c r="C688" t="s">
        <v>507</v>
      </c>
      <c r="D688" t="s">
        <v>1891</v>
      </c>
      <c r="E688" s="615">
        <f ca="1">VLOOKUP(A688,Data!C:I,7,FALSE)</f>
        <v>0</v>
      </c>
      <c r="F688" s="709" t="str">
        <f t="shared" si="44"/>
        <v>ID.SC-13</v>
      </c>
      <c r="G688" s="709" t="str">
        <f t="shared" ca="1" si="45"/>
        <v>ID.SC-130</v>
      </c>
    </row>
    <row r="689" spans="1:7" x14ac:dyDescent="0.25">
      <c r="A689" t="s">
        <v>1135</v>
      </c>
      <c r="B689" s="615">
        <v>3</v>
      </c>
      <c r="C689" t="s">
        <v>507</v>
      </c>
      <c r="D689" t="s">
        <v>1935</v>
      </c>
      <c r="E689" s="615">
        <f ca="1">VLOOKUP(A689,Data!C:I,7,FALSE)</f>
        <v>0</v>
      </c>
      <c r="F689" s="709" t="str">
        <f t="shared" si="44"/>
        <v>ID.SC-33</v>
      </c>
      <c r="G689" s="709" t="str">
        <f t="shared" ca="1" si="45"/>
        <v>ID.SC-330</v>
      </c>
    </row>
    <row r="690" spans="1:7" x14ac:dyDescent="0.25">
      <c r="A690" t="s">
        <v>1136</v>
      </c>
      <c r="B690" s="615">
        <v>3</v>
      </c>
      <c r="C690" t="s">
        <v>507</v>
      </c>
      <c r="D690" t="s">
        <v>1891</v>
      </c>
      <c r="E690" s="615">
        <f ca="1">VLOOKUP(A690,Data!C:I,7,FALSE)</f>
        <v>0</v>
      </c>
      <c r="F690" s="709" t="str">
        <f t="shared" si="44"/>
        <v>ID.SC-13</v>
      </c>
      <c r="G690" s="709" t="str">
        <f t="shared" ca="1" si="45"/>
        <v>ID.SC-130</v>
      </c>
    </row>
    <row r="691" spans="1:7" x14ac:dyDescent="0.25">
      <c r="A691" t="s">
        <v>1136</v>
      </c>
      <c r="B691" s="615">
        <v>3</v>
      </c>
      <c r="C691" t="s">
        <v>507</v>
      </c>
      <c r="D691" t="s">
        <v>1935</v>
      </c>
      <c r="E691" s="615">
        <f ca="1">VLOOKUP(A691,Data!C:I,7,FALSE)</f>
        <v>0</v>
      </c>
      <c r="F691" s="709" t="str">
        <f t="shared" si="44"/>
        <v>ID.SC-33</v>
      </c>
      <c r="G691" s="709" t="str">
        <f t="shared" ca="1" si="45"/>
        <v>ID.SC-330</v>
      </c>
    </row>
    <row r="692" spans="1:7" x14ac:dyDescent="0.25">
      <c r="A692" t="s">
        <v>1137</v>
      </c>
      <c r="B692" s="615">
        <v>3</v>
      </c>
      <c r="C692" t="s">
        <v>1830</v>
      </c>
      <c r="D692" t="s">
        <v>1869</v>
      </c>
      <c r="E692" s="615">
        <f ca="1">VLOOKUP(A692,Data!C:I,7,FALSE)</f>
        <v>0</v>
      </c>
      <c r="F692" s="709" t="str">
        <f t="shared" si="44"/>
        <v>DE.CM-43</v>
      </c>
      <c r="G692" s="709" t="str">
        <f t="shared" ca="1" si="45"/>
        <v>DE.CM-430</v>
      </c>
    </row>
    <row r="693" spans="1:7" x14ac:dyDescent="0.25">
      <c r="A693" t="s">
        <v>1137</v>
      </c>
      <c r="B693" s="615">
        <v>3</v>
      </c>
      <c r="C693" t="s">
        <v>1830</v>
      </c>
      <c r="D693" t="s">
        <v>1873</v>
      </c>
      <c r="E693" s="615">
        <f ca="1">VLOOKUP(A693,Data!C:I,7,FALSE)</f>
        <v>0</v>
      </c>
      <c r="F693" s="709" t="str">
        <f t="shared" si="44"/>
        <v>DE.CM-53</v>
      </c>
      <c r="G693" s="709" t="str">
        <f t="shared" ca="1" si="45"/>
        <v>DE.CM-530</v>
      </c>
    </row>
    <row r="694" spans="1:7" x14ac:dyDescent="0.25">
      <c r="A694" t="s">
        <v>1137</v>
      </c>
      <c r="B694" s="615">
        <v>3</v>
      </c>
      <c r="C694" t="s">
        <v>507</v>
      </c>
      <c r="D694" t="s">
        <v>1891</v>
      </c>
      <c r="E694" s="615">
        <f ca="1">VLOOKUP(A694,Data!C:I,7,FALSE)</f>
        <v>0</v>
      </c>
      <c r="F694" s="709" t="str">
        <f t="shared" si="44"/>
        <v>ID.SC-13</v>
      </c>
      <c r="G694" s="709" t="str">
        <f t="shared" ca="1" si="45"/>
        <v>ID.SC-130</v>
      </c>
    </row>
    <row r="695" spans="1:7" x14ac:dyDescent="0.25">
      <c r="A695" t="s">
        <v>1137</v>
      </c>
      <c r="B695" s="615">
        <v>3</v>
      </c>
      <c r="C695" t="s">
        <v>507</v>
      </c>
      <c r="D695" t="s">
        <v>1871</v>
      </c>
      <c r="E695" s="615">
        <f ca="1">VLOOKUP(A695,Data!C:I,7,FALSE)</f>
        <v>0</v>
      </c>
      <c r="F695" s="709" t="str">
        <f t="shared" si="44"/>
        <v>ID.SC-23</v>
      </c>
      <c r="G695" s="709" t="str">
        <f t="shared" ca="1" si="45"/>
        <v>ID.SC-230</v>
      </c>
    </row>
    <row r="696" spans="1:7" x14ac:dyDescent="0.25">
      <c r="A696" t="s">
        <v>1137</v>
      </c>
      <c r="B696" s="615">
        <v>3</v>
      </c>
      <c r="C696" t="s">
        <v>507</v>
      </c>
      <c r="D696" t="s">
        <v>1935</v>
      </c>
      <c r="E696" s="615">
        <f ca="1">VLOOKUP(A696,Data!C:I,7,FALSE)</f>
        <v>0</v>
      </c>
      <c r="F696" s="709" t="str">
        <f t="shared" si="44"/>
        <v>ID.SC-33</v>
      </c>
      <c r="G696" s="709" t="str">
        <f t="shared" ca="1" si="45"/>
        <v>ID.SC-330</v>
      </c>
    </row>
    <row r="697" spans="1:7" x14ac:dyDescent="0.25">
      <c r="A697" t="s">
        <v>1138</v>
      </c>
      <c r="B697" s="615">
        <v>3</v>
      </c>
      <c r="C697" t="s">
        <v>507</v>
      </c>
      <c r="D697" t="s">
        <v>1936</v>
      </c>
      <c r="E697" s="615">
        <f ca="1">VLOOKUP(A697,Data!C:I,7,FALSE)</f>
        <v>0</v>
      </c>
      <c r="F697" s="709" t="str">
        <f t="shared" si="44"/>
        <v>ID.SC-43</v>
      </c>
      <c r="G697" s="709" t="str">
        <f t="shared" ca="1" si="45"/>
        <v>ID.SC-430</v>
      </c>
    </row>
    <row r="698" spans="1:7" x14ac:dyDescent="0.25">
      <c r="A698" t="s">
        <v>1139</v>
      </c>
      <c r="B698" s="615">
        <v>2</v>
      </c>
      <c r="C698" t="s">
        <v>507</v>
      </c>
      <c r="D698" t="s">
        <v>1891</v>
      </c>
      <c r="E698" s="615">
        <f ca="1">VLOOKUP(A698,Data!C:I,7,FALSE)</f>
        <v>0</v>
      </c>
      <c r="F698" s="709" t="str">
        <f t="shared" si="44"/>
        <v>ID.SC-12</v>
      </c>
      <c r="G698" s="709" t="str">
        <f t="shared" ca="1" si="45"/>
        <v>ID.SC-120</v>
      </c>
    </row>
    <row r="699" spans="1:7" x14ac:dyDescent="0.25">
      <c r="A699" t="s">
        <v>1140</v>
      </c>
      <c r="B699" s="615">
        <v>2</v>
      </c>
      <c r="C699" t="s">
        <v>507</v>
      </c>
      <c r="D699" t="s">
        <v>1871</v>
      </c>
      <c r="E699" s="615">
        <f ca="1">VLOOKUP(A699,Data!C:I,7,FALSE)</f>
        <v>0</v>
      </c>
      <c r="F699" s="709" t="str">
        <f t="shared" si="44"/>
        <v>ID.SC-22</v>
      </c>
      <c r="G699" s="709" t="str">
        <f t="shared" ca="1" si="45"/>
        <v>ID.SC-220</v>
      </c>
    </row>
    <row r="700" spans="1:7" x14ac:dyDescent="0.25">
      <c r="A700" t="s">
        <v>1141</v>
      </c>
      <c r="B700" s="615">
        <v>3</v>
      </c>
      <c r="C700" t="s">
        <v>507</v>
      </c>
      <c r="D700" t="s">
        <v>1891</v>
      </c>
      <c r="E700" s="615">
        <f ca="1">VLOOKUP(A700,Data!C:I,7,FALSE)</f>
        <v>0</v>
      </c>
      <c r="F700" s="709" t="str">
        <f t="shared" si="44"/>
        <v>ID.SC-13</v>
      </c>
      <c r="G700" s="709" t="str">
        <f t="shared" ca="1" si="45"/>
        <v>ID.SC-130</v>
      </c>
    </row>
    <row r="701" spans="1:7" x14ac:dyDescent="0.25">
      <c r="A701" t="s">
        <v>1143</v>
      </c>
      <c r="B701" s="615">
        <v>3</v>
      </c>
      <c r="C701" t="s">
        <v>507</v>
      </c>
      <c r="D701" t="s">
        <v>1857</v>
      </c>
      <c r="E701" s="615">
        <f ca="1">VLOOKUP(A701,Data!C:I,7,FALSE)</f>
        <v>0</v>
      </c>
      <c r="F701" s="709" t="str">
        <f t="shared" si="44"/>
        <v>ID.AM-63</v>
      </c>
      <c r="G701" s="709" t="str">
        <f t="shared" ca="1" si="45"/>
        <v>ID.AM-630</v>
      </c>
    </row>
    <row r="702" spans="1:7" x14ac:dyDescent="0.25">
      <c r="A702" t="s">
        <v>1143</v>
      </c>
      <c r="B702" s="615">
        <v>3</v>
      </c>
      <c r="C702" t="s">
        <v>507</v>
      </c>
      <c r="D702" t="s">
        <v>1858</v>
      </c>
      <c r="E702" s="615">
        <f ca="1">VLOOKUP(A702,Data!C:I,7,FALSE)</f>
        <v>0</v>
      </c>
      <c r="F702" s="709" t="str">
        <f t="shared" si="44"/>
        <v>ID.GV-23</v>
      </c>
      <c r="G702" s="709" t="str">
        <f t="shared" ca="1" si="45"/>
        <v>ID.GV-230</v>
      </c>
    </row>
    <row r="703" spans="1:7" x14ac:dyDescent="0.25">
      <c r="A703" t="s">
        <v>1144</v>
      </c>
      <c r="B703" s="615">
        <v>3</v>
      </c>
      <c r="C703" t="s">
        <v>1829</v>
      </c>
      <c r="D703" t="s">
        <v>1859</v>
      </c>
      <c r="E703" s="615">
        <f ca="1">VLOOKUP(A703,Data!C:I,7,FALSE)</f>
        <v>0</v>
      </c>
      <c r="F703" s="709" t="str">
        <f t="shared" si="44"/>
        <v>PR.IP-83</v>
      </c>
      <c r="G703" s="709" t="str">
        <f t="shared" ca="1" si="45"/>
        <v>PR.IP-830</v>
      </c>
    </row>
    <row r="704" spans="1:7" x14ac:dyDescent="0.25">
      <c r="A704" t="s">
        <v>183</v>
      </c>
      <c r="B704" s="615">
        <v>1</v>
      </c>
      <c r="C704" t="s">
        <v>507</v>
      </c>
      <c r="D704" t="s">
        <v>1937</v>
      </c>
      <c r="E704" s="615">
        <f ca="1">VLOOKUP(A704,Data!C:I,7,FALSE)</f>
        <v>0</v>
      </c>
      <c r="F704" s="709" t="str">
        <f t="shared" si="44"/>
        <v>ID.RA-11</v>
      </c>
      <c r="G704" s="709" t="str">
        <f t="shared" ca="1" si="45"/>
        <v>ID.RA-110</v>
      </c>
    </row>
    <row r="705" spans="1:7" x14ac:dyDescent="0.25">
      <c r="A705" t="s">
        <v>183</v>
      </c>
      <c r="B705" s="615">
        <v>1</v>
      </c>
      <c r="C705" t="s">
        <v>507</v>
      </c>
      <c r="D705" t="s">
        <v>1938</v>
      </c>
      <c r="E705" s="615">
        <f ca="1">VLOOKUP(A705,Data!C:I,7,FALSE)</f>
        <v>0</v>
      </c>
      <c r="F705" s="709" t="str">
        <f t="shared" si="44"/>
        <v>ID.RA-21</v>
      </c>
      <c r="G705" s="709" t="str">
        <f t="shared" ca="1" si="45"/>
        <v>ID.RA-210</v>
      </c>
    </row>
    <row r="706" spans="1:7" x14ac:dyDescent="0.25">
      <c r="A706" t="s">
        <v>183</v>
      </c>
      <c r="B706" s="615">
        <v>1</v>
      </c>
      <c r="C706" t="s">
        <v>1829</v>
      </c>
      <c r="D706" t="s">
        <v>1859</v>
      </c>
      <c r="E706" s="615">
        <f ca="1">VLOOKUP(A706,Data!C:I,7,FALSE)</f>
        <v>0</v>
      </c>
      <c r="F706" s="709" t="str">
        <f t="shared" si="44"/>
        <v>PR.IP-81</v>
      </c>
      <c r="G706" s="709" t="str">
        <f t="shared" ca="1" si="45"/>
        <v>PR.IP-810</v>
      </c>
    </row>
    <row r="707" spans="1:7" x14ac:dyDescent="0.25">
      <c r="A707" t="s">
        <v>183</v>
      </c>
      <c r="B707" s="615">
        <v>1</v>
      </c>
      <c r="C707" t="s">
        <v>1831</v>
      </c>
      <c r="D707" t="s">
        <v>1939</v>
      </c>
      <c r="E707" s="615">
        <f ca="1">VLOOKUP(A707,Data!C:I,7,FALSE)</f>
        <v>0</v>
      </c>
      <c r="F707" s="709" t="str">
        <f t="shared" ref="F707:F770" si="46">CONCATENATE($D707,$B707)</f>
        <v>RS.AN-51</v>
      </c>
      <c r="G707" s="709" t="str">
        <f t="shared" ref="G707:G770" ca="1" si="47">_xlfn.IFNA(CONCATENATE(F707,$E707),CONCATENATE(F707,$E707,0))</f>
        <v>RS.AN-510</v>
      </c>
    </row>
    <row r="708" spans="1:7" x14ac:dyDescent="0.25">
      <c r="A708" t="s">
        <v>183</v>
      </c>
      <c r="B708" s="615">
        <v>1</v>
      </c>
      <c r="C708" t="s">
        <v>1831</v>
      </c>
      <c r="D708" t="s">
        <v>1934</v>
      </c>
      <c r="E708" s="615">
        <f ca="1">VLOOKUP(A708,Data!C:I,7,FALSE)</f>
        <v>0</v>
      </c>
      <c r="F708" s="709" t="str">
        <f t="shared" si="46"/>
        <v>RS.CO-51</v>
      </c>
      <c r="G708" s="709" t="str">
        <f t="shared" ca="1" si="47"/>
        <v>RS.CO-510</v>
      </c>
    </row>
    <row r="709" spans="1:7" x14ac:dyDescent="0.25">
      <c r="A709" t="s">
        <v>184</v>
      </c>
      <c r="B709" s="615">
        <v>1</v>
      </c>
      <c r="C709" t="s">
        <v>507</v>
      </c>
      <c r="D709" t="s">
        <v>1937</v>
      </c>
      <c r="E709" s="615">
        <f ca="1">VLOOKUP(A709,Data!C:I,7,FALSE)</f>
        <v>0</v>
      </c>
      <c r="F709" s="709" t="str">
        <f t="shared" si="46"/>
        <v>ID.RA-11</v>
      </c>
      <c r="G709" s="709" t="str">
        <f t="shared" ca="1" si="47"/>
        <v>ID.RA-110</v>
      </c>
    </row>
    <row r="710" spans="1:7" x14ac:dyDescent="0.25">
      <c r="A710" t="s">
        <v>184</v>
      </c>
      <c r="B710" s="615">
        <v>1</v>
      </c>
      <c r="C710" t="s">
        <v>507</v>
      </c>
      <c r="D710" t="s">
        <v>1938</v>
      </c>
      <c r="E710" s="615">
        <f ca="1">VLOOKUP(A710,Data!C:I,7,FALSE)</f>
        <v>0</v>
      </c>
      <c r="F710" s="709" t="str">
        <f t="shared" si="46"/>
        <v>ID.RA-21</v>
      </c>
      <c r="G710" s="709" t="str">
        <f t="shared" ca="1" si="47"/>
        <v>ID.RA-210</v>
      </c>
    </row>
    <row r="711" spans="1:7" x14ac:dyDescent="0.25">
      <c r="A711" t="s">
        <v>184</v>
      </c>
      <c r="B711" s="615">
        <v>1</v>
      </c>
      <c r="C711" t="s">
        <v>1831</v>
      </c>
      <c r="D711" t="s">
        <v>1939</v>
      </c>
      <c r="E711" s="615">
        <f ca="1">VLOOKUP(A711,Data!C:I,7,FALSE)</f>
        <v>0</v>
      </c>
      <c r="F711" s="709" t="str">
        <f t="shared" si="46"/>
        <v>RS.AN-51</v>
      </c>
      <c r="G711" s="709" t="str">
        <f t="shared" ca="1" si="47"/>
        <v>RS.AN-510</v>
      </c>
    </row>
    <row r="712" spans="1:7" x14ac:dyDescent="0.25">
      <c r="A712" t="s">
        <v>185</v>
      </c>
      <c r="B712" s="615">
        <v>1</v>
      </c>
      <c r="C712" t="s">
        <v>1830</v>
      </c>
      <c r="D712" t="s">
        <v>1931</v>
      </c>
      <c r="E712" s="615">
        <f ca="1">VLOOKUP(A712,Data!C:I,7,FALSE)</f>
        <v>0</v>
      </c>
      <c r="F712" s="709" t="str">
        <f t="shared" si="46"/>
        <v>DE.CM-81</v>
      </c>
      <c r="G712" s="709" t="str">
        <f t="shared" ca="1" si="47"/>
        <v>DE.CM-810</v>
      </c>
    </row>
    <row r="713" spans="1:7" x14ac:dyDescent="0.25">
      <c r="A713" t="s">
        <v>185</v>
      </c>
      <c r="B713" s="615">
        <v>1</v>
      </c>
      <c r="C713" t="s">
        <v>507</v>
      </c>
      <c r="D713" t="s">
        <v>1937</v>
      </c>
      <c r="E713" s="615">
        <f ca="1">VLOOKUP(A713,Data!C:I,7,FALSE)</f>
        <v>0</v>
      </c>
      <c r="F713" s="709" t="str">
        <f t="shared" si="46"/>
        <v>ID.RA-11</v>
      </c>
      <c r="G713" s="709" t="str">
        <f t="shared" ca="1" si="47"/>
        <v>ID.RA-110</v>
      </c>
    </row>
    <row r="714" spans="1:7" x14ac:dyDescent="0.25">
      <c r="A714" t="s">
        <v>185</v>
      </c>
      <c r="B714" s="615">
        <v>1</v>
      </c>
      <c r="C714" t="s">
        <v>1831</v>
      </c>
      <c r="D714" t="s">
        <v>1939</v>
      </c>
      <c r="E714" s="615">
        <f ca="1">VLOOKUP(A714,Data!C:I,7,FALSE)</f>
        <v>0</v>
      </c>
      <c r="F714" s="709" t="str">
        <f t="shared" si="46"/>
        <v>RS.AN-51</v>
      </c>
      <c r="G714" s="709" t="str">
        <f t="shared" ca="1" si="47"/>
        <v>RS.AN-510</v>
      </c>
    </row>
    <row r="715" spans="1:7" x14ac:dyDescent="0.25">
      <c r="A715" t="s">
        <v>186</v>
      </c>
      <c r="B715" s="615">
        <v>1</v>
      </c>
      <c r="C715" t="s">
        <v>1829</v>
      </c>
      <c r="D715" t="s">
        <v>1874</v>
      </c>
      <c r="E715" s="615">
        <f ca="1">VLOOKUP(A715,Data!C:I,7,FALSE)</f>
        <v>0</v>
      </c>
      <c r="F715" s="709" t="str">
        <f t="shared" si="46"/>
        <v>PR.DS-11</v>
      </c>
      <c r="G715" s="709" t="str">
        <f t="shared" ca="1" si="47"/>
        <v>PR.DS-110</v>
      </c>
    </row>
    <row r="716" spans="1:7" x14ac:dyDescent="0.25">
      <c r="A716" t="s">
        <v>186</v>
      </c>
      <c r="B716" s="615">
        <v>1</v>
      </c>
      <c r="C716" t="s">
        <v>1829</v>
      </c>
      <c r="D716" t="s">
        <v>1875</v>
      </c>
      <c r="E716" s="615">
        <f ca="1">VLOOKUP(A716,Data!C:I,7,FALSE)</f>
        <v>0</v>
      </c>
      <c r="F716" s="709" t="str">
        <f t="shared" si="46"/>
        <v>PR.DS-21</v>
      </c>
      <c r="G716" s="709" t="str">
        <f t="shared" ca="1" si="47"/>
        <v>PR.DS-210</v>
      </c>
    </row>
    <row r="717" spans="1:7" x14ac:dyDescent="0.25">
      <c r="A717" t="s">
        <v>186</v>
      </c>
      <c r="B717" s="615">
        <v>1</v>
      </c>
      <c r="C717" t="s">
        <v>1829</v>
      </c>
      <c r="D717" t="s">
        <v>1862</v>
      </c>
      <c r="E717" s="615">
        <f ca="1">VLOOKUP(A717,Data!C:I,7,FALSE)</f>
        <v>0</v>
      </c>
      <c r="F717" s="709" t="str">
        <f t="shared" si="46"/>
        <v>PR.DS-41</v>
      </c>
      <c r="G717" s="709" t="str">
        <f t="shared" ca="1" si="47"/>
        <v>PR.DS-410</v>
      </c>
    </row>
    <row r="718" spans="1:7" x14ac:dyDescent="0.25">
      <c r="A718" t="s">
        <v>186</v>
      </c>
      <c r="B718" s="615">
        <v>1</v>
      </c>
      <c r="C718" t="s">
        <v>1829</v>
      </c>
      <c r="D718" t="s">
        <v>1863</v>
      </c>
      <c r="E718" s="615">
        <f ca="1">VLOOKUP(A718,Data!C:I,7,FALSE)</f>
        <v>0</v>
      </c>
      <c r="F718" s="709" t="str">
        <f t="shared" si="46"/>
        <v>PR.DS-51</v>
      </c>
      <c r="G718" s="709" t="str">
        <f t="shared" ca="1" si="47"/>
        <v>PR.DS-510</v>
      </c>
    </row>
    <row r="719" spans="1:7" x14ac:dyDescent="0.25">
      <c r="A719" t="s">
        <v>186</v>
      </c>
      <c r="B719" s="615">
        <v>1</v>
      </c>
      <c r="C719" t="s">
        <v>1831</v>
      </c>
      <c r="D719" t="s">
        <v>1939</v>
      </c>
      <c r="E719" s="615">
        <f ca="1">VLOOKUP(A719,Data!C:I,7,FALSE)</f>
        <v>0</v>
      </c>
      <c r="F719" s="709" t="str">
        <f t="shared" si="46"/>
        <v>RS.AN-51</v>
      </c>
      <c r="G719" s="709" t="str">
        <f t="shared" ca="1" si="47"/>
        <v>RS.AN-510</v>
      </c>
    </row>
    <row r="720" spans="1:7" x14ac:dyDescent="0.25">
      <c r="A720" t="s">
        <v>186</v>
      </c>
      <c r="B720" s="615">
        <v>1</v>
      </c>
      <c r="C720" t="s">
        <v>1831</v>
      </c>
      <c r="D720" t="s">
        <v>1929</v>
      </c>
      <c r="E720" s="615">
        <f ca="1">VLOOKUP(A720,Data!C:I,7,FALSE)</f>
        <v>0</v>
      </c>
      <c r="F720" s="709" t="str">
        <f t="shared" si="46"/>
        <v>RS.MI-31</v>
      </c>
      <c r="G720" s="709" t="str">
        <f t="shared" ca="1" si="47"/>
        <v>RS.MI-310</v>
      </c>
    </row>
    <row r="721" spans="1:7" x14ac:dyDescent="0.25">
      <c r="A721" t="s">
        <v>187</v>
      </c>
      <c r="B721" s="615">
        <v>2</v>
      </c>
      <c r="C721" t="s">
        <v>507</v>
      </c>
      <c r="D721" t="s">
        <v>1937</v>
      </c>
      <c r="E721" s="615">
        <f ca="1">VLOOKUP(A721,Data!C:I,7,FALSE)</f>
        <v>0</v>
      </c>
      <c r="F721" s="709" t="str">
        <f t="shared" si="46"/>
        <v>ID.RA-12</v>
      </c>
      <c r="G721" s="709" t="str">
        <f t="shared" ca="1" si="47"/>
        <v>ID.RA-120</v>
      </c>
    </row>
    <row r="722" spans="1:7" x14ac:dyDescent="0.25">
      <c r="A722" t="s">
        <v>187</v>
      </c>
      <c r="B722" s="615">
        <v>2</v>
      </c>
      <c r="C722" t="s">
        <v>507</v>
      </c>
      <c r="D722" t="s">
        <v>1938</v>
      </c>
      <c r="E722" s="615">
        <f ca="1">VLOOKUP(A722,Data!C:I,7,FALSE)</f>
        <v>0</v>
      </c>
      <c r="F722" s="709" t="str">
        <f t="shared" si="46"/>
        <v>ID.RA-22</v>
      </c>
      <c r="G722" s="709" t="str">
        <f t="shared" ca="1" si="47"/>
        <v>ID.RA-220</v>
      </c>
    </row>
    <row r="723" spans="1:7" x14ac:dyDescent="0.25">
      <c r="A723" t="s">
        <v>187</v>
      </c>
      <c r="B723" s="615">
        <v>2</v>
      </c>
      <c r="C723" t="s">
        <v>1831</v>
      </c>
      <c r="D723" t="s">
        <v>1939</v>
      </c>
      <c r="E723" s="615">
        <f ca="1">VLOOKUP(A723,Data!C:I,7,FALSE)</f>
        <v>0</v>
      </c>
      <c r="F723" s="709" t="str">
        <f t="shared" si="46"/>
        <v>RS.AN-52</v>
      </c>
      <c r="G723" s="709" t="str">
        <f t="shared" ca="1" si="47"/>
        <v>RS.AN-520</v>
      </c>
    </row>
    <row r="724" spans="1:7" x14ac:dyDescent="0.25">
      <c r="A724" t="s">
        <v>188</v>
      </c>
      <c r="B724" s="615">
        <v>2</v>
      </c>
      <c r="C724" t="s">
        <v>1830</v>
      </c>
      <c r="D724" t="s">
        <v>1931</v>
      </c>
      <c r="E724" s="615">
        <f ca="1">VLOOKUP(A724,Data!C:I,7,FALSE)</f>
        <v>0</v>
      </c>
      <c r="F724" s="709" t="str">
        <f t="shared" si="46"/>
        <v>DE.CM-82</v>
      </c>
      <c r="G724" s="709" t="str">
        <f t="shared" ca="1" si="47"/>
        <v>DE.CM-820</v>
      </c>
    </row>
    <row r="725" spans="1:7" x14ac:dyDescent="0.25">
      <c r="A725" t="s">
        <v>188</v>
      </c>
      <c r="B725" s="615">
        <v>2</v>
      </c>
      <c r="C725" t="s">
        <v>507</v>
      </c>
      <c r="D725" t="s">
        <v>1937</v>
      </c>
      <c r="E725" s="615">
        <f ca="1">VLOOKUP(A725,Data!C:I,7,FALSE)</f>
        <v>0</v>
      </c>
      <c r="F725" s="709" t="str">
        <f t="shared" si="46"/>
        <v>ID.RA-12</v>
      </c>
      <c r="G725" s="709" t="str">
        <f t="shared" ca="1" si="47"/>
        <v>ID.RA-120</v>
      </c>
    </row>
    <row r="726" spans="1:7" x14ac:dyDescent="0.25">
      <c r="A726" t="s">
        <v>188</v>
      </c>
      <c r="B726" s="615">
        <v>2</v>
      </c>
      <c r="C726" t="s">
        <v>507</v>
      </c>
      <c r="D726" t="s">
        <v>1940</v>
      </c>
      <c r="E726" s="615">
        <f ca="1">VLOOKUP(A726,Data!C:I,7,FALSE)</f>
        <v>0</v>
      </c>
      <c r="F726" s="709" t="str">
        <f t="shared" si="46"/>
        <v>ID.RA-32</v>
      </c>
      <c r="G726" s="709" t="str">
        <f t="shared" ca="1" si="47"/>
        <v>ID.RA-320</v>
      </c>
    </row>
    <row r="727" spans="1:7" x14ac:dyDescent="0.25">
      <c r="A727" t="s">
        <v>188</v>
      </c>
      <c r="B727" s="615">
        <v>2</v>
      </c>
      <c r="C727" t="s">
        <v>507</v>
      </c>
      <c r="D727" t="s">
        <v>1941</v>
      </c>
      <c r="E727" s="615">
        <f ca="1">VLOOKUP(A727,Data!C:I,7,FALSE)</f>
        <v>0</v>
      </c>
      <c r="F727" s="709" t="str">
        <f t="shared" si="46"/>
        <v>ID.RA-42</v>
      </c>
      <c r="G727" s="709" t="str">
        <f t="shared" ca="1" si="47"/>
        <v>ID.RA-420</v>
      </c>
    </row>
    <row r="728" spans="1:7" x14ac:dyDescent="0.25">
      <c r="A728" t="s">
        <v>189</v>
      </c>
      <c r="B728" s="615">
        <v>2</v>
      </c>
      <c r="C728" t="s">
        <v>507</v>
      </c>
      <c r="D728" t="s">
        <v>1937</v>
      </c>
      <c r="E728" s="615">
        <f ca="1">VLOOKUP(A728,Data!C:I,7,FALSE)</f>
        <v>0</v>
      </c>
      <c r="F728" s="709" t="str">
        <f t="shared" si="46"/>
        <v>ID.RA-12</v>
      </c>
      <c r="G728" s="709" t="str">
        <f t="shared" ca="1" si="47"/>
        <v>ID.RA-120</v>
      </c>
    </row>
    <row r="729" spans="1:7" x14ac:dyDescent="0.25">
      <c r="A729" t="s">
        <v>189</v>
      </c>
      <c r="B729" s="615">
        <v>2</v>
      </c>
      <c r="C729" t="s">
        <v>1831</v>
      </c>
      <c r="D729" t="s">
        <v>1939</v>
      </c>
      <c r="E729" s="615">
        <f ca="1">VLOOKUP(A729,Data!C:I,7,FALSE)</f>
        <v>0</v>
      </c>
      <c r="F729" s="709" t="str">
        <f t="shared" si="46"/>
        <v>RS.AN-52</v>
      </c>
      <c r="G729" s="709" t="str">
        <f t="shared" ca="1" si="47"/>
        <v>RS.AN-520</v>
      </c>
    </row>
    <row r="730" spans="1:7" x14ac:dyDescent="0.25">
      <c r="A730" t="s">
        <v>189</v>
      </c>
      <c r="B730" s="615">
        <v>2</v>
      </c>
      <c r="C730" t="s">
        <v>1831</v>
      </c>
      <c r="D730" t="s">
        <v>1929</v>
      </c>
      <c r="E730" s="615">
        <f ca="1">VLOOKUP(A730,Data!C:I,7,FALSE)</f>
        <v>0</v>
      </c>
      <c r="F730" s="709" t="str">
        <f t="shared" si="46"/>
        <v>RS.MI-32</v>
      </c>
      <c r="G730" s="709" t="str">
        <f t="shared" ca="1" si="47"/>
        <v>RS.MI-320</v>
      </c>
    </row>
    <row r="731" spans="1:7" x14ac:dyDescent="0.25">
      <c r="A731" t="s">
        <v>190</v>
      </c>
      <c r="B731" s="615">
        <v>2</v>
      </c>
      <c r="C731" t="s">
        <v>507</v>
      </c>
      <c r="D731" t="s">
        <v>1941</v>
      </c>
      <c r="E731" s="615">
        <f ca="1">VLOOKUP(A731,Data!C:I,7,FALSE)</f>
        <v>0</v>
      </c>
      <c r="F731" s="709" t="str">
        <f t="shared" si="46"/>
        <v>ID.RA-42</v>
      </c>
      <c r="G731" s="709" t="str">
        <f t="shared" ca="1" si="47"/>
        <v>ID.RA-420</v>
      </c>
    </row>
    <row r="732" spans="1:7" x14ac:dyDescent="0.25">
      <c r="A732" t="s">
        <v>190</v>
      </c>
      <c r="B732" s="615">
        <v>2</v>
      </c>
      <c r="C732" t="s">
        <v>1831</v>
      </c>
      <c r="D732" t="s">
        <v>1939</v>
      </c>
      <c r="E732" s="615">
        <f ca="1">VLOOKUP(A732,Data!C:I,7,FALSE)</f>
        <v>0</v>
      </c>
      <c r="F732" s="709" t="str">
        <f t="shared" si="46"/>
        <v>RS.AN-52</v>
      </c>
      <c r="G732" s="709" t="str">
        <f t="shared" ca="1" si="47"/>
        <v>RS.AN-520</v>
      </c>
    </row>
    <row r="733" spans="1:7" x14ac:dyDescent="0.25">
      <c r="A733" t="s">
        <v>191</v>
      </c>
      <c r="B733" s="615">
        <v>2</v>
      </c>
      <c r="C733" t="s">
        <v>1830</v>
      </c>
      <c r="D733" t="s">
        <v>1907</v>
      </c>
      <c r="E733" s="615">
        <f ca="1">VLOOKUP(A733,Data!C:I,7,FALSE)</f>
        <v>0</v>
      </c>
      <c r="F733" s="709" t="str">
        <f t="shared" si="46"/>
        <v>DE.DP-42</v>
      </c>
      <c r="G733" s="709" t="str">
        <f t="shared" ca="1" si="47"/>
        <v>DE.DP-420</v>
      </c>
    </row>
    <row r="734" spans="1:7" x14ac:dyDescent="0.25">
      <c r="A734" t="s">
        <v>191</v>
      </c>
      <c r="B734" s="615">
        <v>2</v>
      </c>
      <c r="C734" t="s">
        <v>1829</v>
      </c>
      <c r="D734" t="s">
        <v>1859</v>
      </c>
      <c r="E734" s="615">
        <f ca="1">VLOOKUP(A734,Data!C:I,7,FALSE)</f>
        <v>0</v>
      </c>
      <c r="F734" s="709" t="str">
        <f t="shared" si="46"/>
        <v>PR.IP-82</v>
      </c>
      <c r="G734" s="709" t="str">
        <f t="shared" ca="1" si="47"/>
        <v>PR.IP-820</v>
      </c>
    </row>
    <row r="735" spans="1:7" x14ac:dyDescent="0.25">
      <c r="A735" t="s">
        <v>191</v>
      </c>
      <c r="B735" s="615">
        <v>2</v>
      </c>
      <c r="C735" t="s">
        <v>1831</v>
      </c>
      <c r="D735" t="s">
        <v>1903</v>
      </c>
      <c r="E735" s="615">
        <f ca="1">VLOOKUP(A735,Data!C:I,7,FALSE)</f>
        <v>0</v>
      </c>
      <c r="F735" s="709" t="str">
        <f t="shared" si="46"/>
        <v>RS.CO-32</v>
      </c>
      <c r="G735" s="709" t="str">
        <f t="shared" ca="1" si="47"/>
        <v>RS.CO-320</v>
      </c>
    </row>
    <row r="736" spans="1:7" x14ac:dyDescent="0.25">
      <c r="A736" t="s">
        <v>191</v>
      </c>
      <c r="B736" s="615">
        <v>2</v>
      </c>
      <c r="C736" t="s">
        <v>1831</v>
      </c>
      <c r="D736" t="s">
        <v>1934</v>
      </c>
      <c r="E736" s="615">
        <f ca="1">VLOOKUP(A736,Data!C:I,7,FALSE)</f>
        <v>0</v>
      </c>
      <c r="F736" s="709" t="str">
        <f t="shared" si="46"/>
        <v>RS.CO-52</v>
      </c>
      <c r="G736" s="709" t="str">
        <f t="shared" ca="1" si="47"/>
        <v>RS.CO-520</v>
      </c>
    </row>
    <row r="737" spans="1:7" x14ac:dyDescent="0.25">
      <c r="A737" t="s">
        <v>192</v>
      </c>
      <c r="B737" s="615">
        <v>3</v>
      </c>
      <c r="C737" t="s">
        <v>1830</v>
      </c>
      <c r="D737" t="s">
        <v>1931</v>
      </c>
      <c r="E737" s="615">
        <f ca="1">VLOOKUP(A737,Data!C:I,7,FALSE)</f>
        <v>0</v>
      </c>
      <c r="F737" s="709" t="str">
        <f t="shared" si="46"/>
        <v>DE.CM-83</v>
      </c>
      <c r="G737" s="709" t="str">
        <f t="shared" ca="1" si="47"/>
        <v>DE.CM-830</v>
      </c>
    </row>
    <row r="738" spans="1:7" x14ac:dyDescent="0.25">
      <c r="A738" t="s">
        <v>192</v>
      </c>
      <c r="B738" s="615">
        <v>3</v>
      </c>
      <c r="C738" t="s">
        <v>507</v>
      </c>
      <c r="D738" t="s">
        <v>1937</v>
      </c>
      <c r="E738" s="615">
        <f ca="1">VLOOKUP(A738,Data!C:I,7,FALSE)</f>
        <v>0</v>
      </c>
      <c r="F738" s="709" t="str">
        <f t="shared" si="46"/>
        <v>ID.RA-13</v>
      </c>
      <c r="G738" s="709" t="str">
        <f t="shared" ca="1" si="47"/>
        <v>ID.RA-130</v>
      </c>
    </row>
    <row r="739" spans="1:7" x14ac:dyDescent="0.25">
      <c r="A739" t="s">
        <v>192</v>
      </c>
      <c r="B739" s="615">
        <v>3</v>
      </c>
      <c r="C739" t="s">
        <v>1831</v>
      </c>
      <c r="D739" t="s">
        <v>1939</v>
      </c>
      <c r="E739" s="615">
        <f ca="1">VLOOKUP(A739,Data!C:I,7,FALSE)</f>
        <v>0</v>
      </c>
      <c r="F739" s="709" t="str">
        <f t="shared" si="46"/>
        <v>RS.AN-53</v>
      </c>
      <c r="G739" s="709" t="str">
        <f t="shared" ca="1" si="47"/>
        <v>RS.AN-530</v>
      </c>
    </row>
    <row r="740" spans="1:7" x14ac:dyDescent="0.25">
      <c r="A740" t="s">
        <v>193</v>
      </c>
      <c r="B740" s="615">
        <v>3</v>
      </c>
      <c r="C740" t="s">
        <v>1830</v>
      </c>
      <c r="D740" t="s">
        <v>1907</v>
      </c>
      <c r="E740" s="615">
        <f ca="1">VLOOKUP(A740,Data!C:I,7,FALSE)</f>
        <v>0</v>
      </c>
      <c r="F740" s="709" t="str">
        <f t="shared" si="46"/>
        <v>DE.DP-43</v>
      </c>
      <c r="G740" s="709" t="str">
        <f t="shared" ca="1" si="47"/>
        <v>DE.DP-430</v>
      </c>
    </row>
    <row r="741" spans="1:7" x14ac:dyDescent="0.25">
      <c r="A741" t="s">
        <v>193</v>
      </c>
      <c r="B741" s="615">
        <v>3</v>
      </c>
      <c r="C741" t="s">
        <v>507</v>
      </c>
      <c r="D741" t="s">
        <v>1937</v>
      </c>
      <c r="E741" s="615">
        <f ca="1">VLOOKUP(A741,Data!C:I,7,FALSE)</f>
        <v>0</v>
      </c>
      <c r="F741" s="709" t="str">
        <f t="shared" si="46"/>
        <v>ID.RA-13</v>
      </c>
      <c r="G741" s="709" t="str">
        <f t="shared" ca="1" si="47"/>
        <v>ID.RA-130</v>
      </c>
    </row>
    <row r="742" spans="1:7" x14ac:dyDescent="0.25">
      <c r="A742" t="s">
        <v>193</v>
      </c>
      <c r="B742" s="615">
        <v>3</v>
      </c>
      <c r="C742" t="s">
        <v>507</v>
      </c>
      <c r="D742" t="s">
        <v>1941</v>
      </c>
      <c r="E742" s="615">
        <f ca="1">VLOOKUP(A742,Data!C:I,7,FALSE)</f>
        <v>0</v>
      </c>
      <c r="F742" s="709" t="str">
        <f t="shared" si="46"/>
        <v>ID.RA-43</v>
      </c>
      <c r="G742" s="709" t="str">
        <f t="shared" ca="1" si="47"/>
        <v>ID.RA-430</v>
      </c>
    </row>
    <row r="743" spans="1:7" x14ac:dyDescent="0.25">
      <c r="A743" t="s">
        <v>193</v>
      </c>
      <c r="B743" s="615">
        <v>3</v>
      </c>
      <c r="C743" t="s">
        <v>507</v>
      </c>
      <c r="D743" t="s">
        <v>1880</v>
      </c>
      <c r="E743" s="615">
        <f ca="1">VLOOKUP(A743,Data!C:I,7,FALSE)</f>
        <v>0</v>
      </c>
      <c r="F743" s="709" t="str">
        <f t="shared" si="46"/>
        <v>ID.RA-53</v>
      </c>
      <c r="G743" s="709" t="str">
        <f t="shared" ca="1" si="47"/>
        <v>ID.RA-530</v>
      </c>
    </row>
    <row r="744" spans="1:7" x14ac:dyDescent="0.25">
      <c r="A744" t="s">
        <v>193</v>
      </c>
      <c r="B744" s="615">
        <v>3</v>
      </c>
      <c r="C744" t="s">
        <v>1831</v>
      </c>
      <c r="D744" t="s">
        <v>1939</v>
      </c>
      <c r="E744" s="615">
        <f ca="1">VLOOKUP(A744,Data!C:I,7,FALSE)</f>
        <v>0</v>
      </c>
      <c r="F744" s="709" t="str">
        <f t="shared" si="46"/>
        <v>RS.AN-53</v>
      </c>
      <c r="G744" s="709" t="str">
        <f t="shared" ca="1" si="47"/>
        <v>RS.AN-530</v>
      </c>
    </row>
    <row r="745" spans="1:7" x14ac:dyDescent="0.25">
      <c r="A745" t="s">
        <v>193</v>
      </c>
      <c r="B745" s="615">
        <v>3</v>
      </c>
      <c r="C745" t="s">
        <v>1831</v>
      </c>
      <c r="D745" t="s">
        <v>1903</v>
      </c>
      <c r="E745" s="615">
        <f ca="1">VLOOKUP(A745,Data!C:I,7,FALSE)</f>
        <v>0</v>
      </c>
      <c r="F745" s="709" t="str">
        <f t="shared" si="46"/>
        <v>RS.CO-33</v>
      </c>
      <c r="G745" s="709" t="str">
        <f t="shared" ca="1" si="47"/>
        <v>RS.CO-330</v>
      </c>
    </row>
    <row r="746" spans="1:7" x14ac:dyDescent="0.25">
      <c r="A746" t="s">
        <v>193</v>
      </c>
      <c r="B746" s="615">
        <v>3</v>
      </c>
      <c r="C746" t="s">
        <v>1831</v>
      </c>
      <c r="D746" t="s">
        <v>1929</v>
      </c>
      <c r="E746" s="615">
        <f ca="1">VLOOKUP(A746,Data!C:I,7,FALSE)</f>
        <v>0</v>
      </c>
      <c r="F746" s="709" t="str">
        <f t="shared" si="46"/>
        <v>RS.MI-33</v>
      </c>
      <c r="G746" s="709" t="str">
        <f t="shared" ca="1" si="47"/>
        <v>RS.MI-330</v>
      </c>
    </row>
    <row r="747" spans="1:7" x14ac:dyDescent="0.25">
      <c r="A747" t="s">
        <v>195</v>
      </c>
      <c r="B747" s="615">
        <v>3</v>
      </c>
      <c r="C747" t="s">
        <v>1831</v>
      </c>
      <c r="D747" t="s">
        <v>1939</v>
      </c>
      <c r="E747" s="615">
        <f ca="1">VLOOKUP(A747,Data!C:I,7,FALSE)</f>
        <v>0</v>
      </c>
      <c r="F747" s="709" t="str">
        <f t="shared" si="46"/>
        <v>RS.AN-53</v>
      </c>
      <c r="G747" s="709" t="str">
        <f t="shared" ca="1" si="47"/>
        <v>RS.AN-530</v>
      </c>
    </row>
    <row r="748" spans="1:7" x14ac:dyDescent="0.25">
      <c r="A748" t="s">
        <v>195</v>
      </c>
      <c r="B748" s="615">
        <v>3</v>
      </c>
      <c r="C748" t="s">
        <v>1831</v>
      </c>
      <c r="D748" t="s">
        <v>1929</v>
      </c>
      <c r="E748" s="615">
        <f ca="1">VLOOKUP(A748,Data!C:I,7,FALSE)</f>
        <v>0</v>
      </c>
      <c r="F748" s="709" t="str">
        <f t="shared" si="46"/>
        <v>RS.MI-33</v>
      </c>
      <c r="G748" s="709" t="str">
        <f t="shared" ca="1" si="47"/>
        <v>RS.MI-330</v>
      </c>
    </row>
    <row r="749" spans="1:7" x14ac:dyDescent="0.25">
      <c r="A749" t="s">
        <v>197</v>
      </c>
      <c r="B749" s="615">
        <v>1</v>
      </c>
      <c r="C749" t="s">
        <v>507</v>
      </c>
      <c r="D749" t="s">
        <v>1938</v>
      </c>
      <c r="E749" s="615">
        <f ca="1">VLOOKUP(A749,Data!C:I,7,FALSE)</f>
        <v>0</v>
      </c>
      <c r="F749" s="709" t="str">
        <f t="shared" si="46"/>
        <v>ID.RA-21</v>
      </c>
      <c r="G749" s="709" t="str">
        <f t="shared" ca="1" si="47"/>
        <v>ID.RA-210</v>
      </c>
    </row>
    <row r="750" spans="1:7" x14ac:dyDescent="0.25">
      <c r="A750" t="s">
        <v>197</v>
      </c>
      <c r="B750" s="615">
        <v>1</v>
      </c>
      <c r="C750" t="s">
        <v>507</v>
      </c>
      <c r="D750" t="s">
        <v>1940</v>
      </c>
      <c r="E750" s="615">
        <f ca="1">VLOOKUP(A750,Data!C:I,7,FALSE)</f>
        <v>0</v>
      </c>
      <c r="F750" s="709" t="str">
        <f t="shared" si="46"/>
        <v>ID.RA-31</v>
      </c>
      <c r="G750" s="709" t="str">
        <f t="shared" ca="1" si="47"/>
        <v>ID.RA-310</v>
      </c>
    </row>
    <row r="751" spans="1:7" x14ac:dyDescent="0.25">
      <c r="A751" t="s">
        <v>198</v>
      </c>
      <c r="B751" s="615">
        <v>1</v>
      </c>
      <c r="C751" t="s">
        <v>507</v>
      </c>
      <c r="D751" t="s">
        <v>1938</v>
      </c>
      <c r="E751" s="615">
        <f ca="1">VLOOKUP(A751,Data!C:I,7,FALSE)</f>
        <v>0</v>
      </c>
      <c r="F751" s="709" t="str">
        <f t="shared" si="46"/>
        <v>ID.RA-21</v>
      </c>
      <c r="G751" s="709" t="str">
        <f t="shared" ca="1" si="47"/>
        <v>ID.RA-210</v>
      </c>
    </row>
    <row r="752" spans="1:7" x14ac:dyDescent="0.25">
      <c r="A752" t="s">
        <v>198</v>
      </c>
      <c r="B752" s="615">
        <v>1</v>
      </c>
      <c r="C752" t="s">
        <v>507</v>
      </c>
      <c r="D752" t="s">
        <v>1940</v>
      </c>
      <c r="E752" s="615">
        <f ca="1">VLOOKUP(A752,Data!C:I,7,FALSE)</f>
        <v>0</v>
      </c>
      <c r="F752" s="709" t="str">
        <f t="shared" si="46"/>
        <v>ID.RA-31</v>
      </c>
      <c r="G752" s="709" t="str">
        <f t="shared" ca="1" si="47"/>
        <v>ID.RA-310</v>
      </c>
    </row>
    <row r="753" spans="1:7" x14ac:dyDescent="0.25">
      <c r="A753" t="s">
        <v>199</v>
      </c>
      <c r="B753" s="615">
        <v>1</v>
      </c>
      <c r="C753" t="s">
        <v>1829</v>
      </c>
      <c r="D753" t="s">
        <v>1874</v>
      </c>
      <c r="E753" s="615">
        <f ca="1">VLOOKUP(A753,Data!C:I,7,FALSE)</f>
        <v>0</v>
      </c>
      <c r="F753" s="709" t="str">
        <f t="shared" si="46"/>
        <v>PR.DS-11</v>
      </c>
      <c r="G753" s="709" t="str">
        <f t="shared" ca="1" si="47"/>
        <v>PR.DS-110</v>
      </c>
    </row>
    <row r="754" spans="1:7" x14ac:dyDescent="0.25">
      <c r="A754" t="s">
        <v>199</v>
      </c>
      <c r="B754" s="615">
        <v>1</v>
      </c>
      <c r="C754" t="s">
        <v>1829</v>
      </c>
      <c r="D754" t="s">
        <v>1875</v>
      </c>
      <c r="E754" s="615">
        <f ca="1">VLOOKUP(A754,Data!C:I,7,FALSE)</f>
        <v>0</v>
      </c>
      <c r="F754" s="709" t="str">
        <f t="shared" si="46"/>
        <v>PR.DS-21</v>
      </c>
      <c r="G754" s="709" t="str">
        <f t="shared" ca="1" si="47"/>
        <v>PR.DS-210</v>
      </c>
    </row>
    <row r="755" spans="1:7" x14ac:dyDescent="0.25">
      <c r="A755" t="s">
        <v>199</v>
      </c>
      <c r="B755" s="615">
        <v>1</v>
      </c>
      <c r="C755" t="s">
        <v>1829</v>
      </c>
      <c r="D755" t="s">
        <v>1862</v>
      </c>
      <c r="E755" s="615">
        <f ca="1">VLOOKUP(A755,Data!C:I,7,FALSE)</f>
        <v>0</v>
      </c>
      <c r="F755" s="709" t="str">
        <f t="shared" si="46"/>
        <v>PR.DS-41</v>
      </c>
      <c r="G755" s="709" t="str">
        <f t="shared" ca="1" si="47"/>
        <v>PR.DS-410</v>
      </c>
    </row>
    <row r="756" spans="1:7" x14ac:dyDescent="0.25">
      <c r="A756" t="s">
        <v>199</v>
      </c>
      <c r="B756" s="615">
        <v>1</v>
      </c>
      <c r="C756" t="s">
        <v>1829</v>
      </c>
      <c r="D756" t="s">
        <v>1863</v>
      </c>
      <c r="E756" s="615">
        <f ca="1">VLOOKUP(A756,Data!C:I,7,FALSE)</f>
        <v>0</v>
      </c>
      <c r="F756" s="709" t="str">
        <f t="shared" si="46"/>
        <v>PR.DS-51</v>
      </c>
      <c r="G756" s="709" t="str">
        <f t="shared" ca="1" si="47"/>
        <v>PR.DS-510</v>
      </c>
    </row>
    <row r="757" spans="1:7" x14ac:dyDescent="0.25">
      <c r="A757" t="s">
        <v>200</v>
      </c>
      <c r="B757" s="615">
        <v>2</v>
      </c>
      <c r="C757" t="s">
        <v>507</v>
      </c>
      <c r="D757" t="s">
        <v>1940</v>
      </c>
      <c r="E757" s="615">
        <f ca="1">VLOOKUP(A757,Data!C:I,7,FALSE)</f>
        <v>0</v>
      </c>
      <c r="F757" s="709" t="str">
        <f t="shared" si="46"/>
        <v>ID.RA-32</v>
      </c>
      <c r="G757" s="709" t="str">
        <f t="shared" ca="1" si="47"/>
        <v>ID.RA-320</v>
      </c>
    </row>
    <row r="758" spans="1:7" x14ac:dyDescent="0.25">
      <c r="A758" t="s">
        <v>200</v>
      </c>
      <c r="B758" s="615">
        <v>2</v>
      </c>
      <c r="C758" t="s">
        <v>507</v>
      </c>
      <c r="D758" t="s">
        <v>1941</v>
      </c>
      <c r="E758" s="615">
        <f ca="1">VLOOKUP(A758,Data!C:I,7,FALSE)</f>
        <v>0</v>
      </c>
      <c r="F758" s="709" t="str">
        <f t="shared" si="46"/>
        <v>ID.RA-42</v>
      </c>
      <c r="G758" s="709" t="str">
        <f t="shared" ca="1" si="47"/>
        <v>ID.RA-420</v>
      </c>
    </row>
    <row r="759" spans="1:7" x14ac:dyDescent="0.25">
      <c r="A759" t="s">
        <v>200</v>
      </c>
      <c r="B759" s="615">
        <v>2</v>
      </c>
      <c r="C759" t="s">
        <v>507</v>
      </c>
      <c r="D759" t="s">
        <v>1930</v>
      </c>
      <c r="E759" s="615">
        <f ca="1">VLOOKUP(A759,Data!C:I,7,FALSE)</f>
        <v>0</v>
      </c>
      <c r="F759" s="709" t="str">
        <f t="shared" si="46"/>
        <v>ID.RA-62</v>
      </c>
      <c r="G759" s="709" t="str">
        <f t="shared" ca="1" si="47"/>
        <v>ID.RA-620</v>
      </c>
    </row>
    <row r="760" spans="1:7" x14ac:dyDescent="0.25">
      <c r="A760" t="s">
        <v>201</v>
      </c>
      <c r="B760" s="615">
        <v>2</v>
      </c>
      <c r="C760" t="s">
        <v>507</v>
      </c>
      <c r="D760" t="s">
        <v>1938</v>
      </c>
      <c r="E760" s="615">
        <f ca="1">VLOOKUP(A760,Data!C:I,7,FALSE)</f>
        <v>0</v>
      </c>
      <c r="F760" s="709" t="str">
        <f t="shared" si="46"/>
        <v>ID.RA-22</v>
      </c>
      <c r="G760" s="709" t="str">
        <f t="shared" ca="1" si="47"/>
        <v>ID.RA-220</v>
      </c>
    </row>
    <row r="761" spans="1:7" x14ac:dyDescent="0.25">
      <c r="A761" t="s">
        <v>201</v>
      </c>
      <c r="B761" s="615">
        <v>2</v>
      </c>
      <c r="C761" t="s">
        <v>507</v>
      </c>
      <c r="D761" t="s">
        <v>1940</v>
      </c>
      <c r="E761" s="615">
        <f ca="1">VLOOKUP(A761,Data!C:I,7,FALSE)</f>
        <v>0</v>
      </c>
      <c r="F761" s="709" t="str">
        <f t="shared" si="46"/>
        <v>ID.RA-32</v>
      </c>
      <c r="G761" s="709" t="str">
        <f t="shared" ca="1" si="47"/>
        <v>ID.RA-320</v>
      </c>
    </row>
    <row r="762" spans="1:7" x14ac:dyDescent="0.25">
      <c r="A762" t="s">
        <v>202</v>
      </c>
      <c r="B762" s="615">
        <v>2</v>
      </c>
      <c r="C762" t="s">
        <v>507</v>
      </c>
      <c r="D762" t="s">
        <v>1940</v>
      </c>
      <c r="E762" s="615">
        <f ca="1">VLOOKUP(A762,Data!C:I,7,FALSE)</f>
        <v>0</v>
      </c>
      <c r="F762" s="709" t="str">
        <f t="shared" si="46"/>
        <v>ID.RA-32</v>
      </c>
      <c r="G762" s="709" t="str">
        <f t="shared" ca="1" si="47"/>
        <v>ID.RA-320</v>
      </c>
    </row>
    <row r="763" spans="1:7" x14ac:dyDescent="0.25">
      <c r="A763" t="s">
        <v>202</v>
      </c>
      <c r="B763" s="615">
        <v>2</v>
      </c>
      <c r="C763" t="s">
        <v>507</v>
      </c>
      <c r="D763" t="s">
        <v>1941</v>
      </c>
      <c r="E763" s="615">
        <f ca="1">VLOOKUP(A763,Data!C:I,7,FALSE)</f>
        <v>0</v>
      </c>
      <c r="F763" s="709" t="str">
        <f t="shared" si="46"/>
        <v>ID.RA-42</v>
      </c>
      <c r="G763" s="709" t="str">
        <f t="shared" ca="1" si="47"/>
        <v>ID.RA-420</v>
      </c>
    </row>
    <row r="764" spans="1:7" x14ac:dyDescent="0.25">
      <c r="A764" t="s">
        <v>204</v>
      </c>
      <c r="B764" s="615">
        <v>3</v>
      </c>
      <c r="C764" t="s">
        <v>507</v>
      </c>
      <c r="D764" t="s">
        <v>1940</v>
      </c>
      <c r="E764" s="615">
        <f ca="1">VLOOKUP(A764,Data!C:I,7,FALSE)</f>
        <v>0</v>
      </c>
      <c r="F764" s="709" t="str">
        <f t="shared" si="46"/>
        <v>ID.RA-33</v>
      </c>
      <c r="G764" s="709" t="str">
        <f t="shared" ca="1" si="47"/>
        <v>ID.RA-330</v>
      </c>
    </row>
    <row r="765" spans="1:7" x14ac:dyDescent="0.25">
      <c r="A765" t="s">
        <v>204</v>
      </c>
      <c r="B765" s="615">
        <v>3</v>
      </c>
      <c r="C765" t="s">
        <v>507</v>
      </c>
      <c r="D765" t="s">
        <v>1941</v>
      </c>
      <c r="E765" s="615">
        <f ca="1">VLOOKUP(A765,Data!C:I,7,FALSE)</f>
        <v>0</v>
      </c>
      <c r="F765" s="709" t="str">
        <f t="shared" si="46"/>
        <v>ID.RA-43</v>
      </c>
      <c r="G765" s="709" t="str">
        <f t="shared" ca="1" si="47"/>
        <v>ID.RA-430</v>
      </c>
    </row>
    <row r="766" spans="1:7" x14ac:dyDescent="0.25">
      <c r="A766" t="s">
        <v>204</v>
      </c>
      <c r="B766" s="615">
        <v>3</v>
      </c>
      <c r="C766" t="s">
        <v>507</v>
      </c>
      <c r="D766" t="s">
        <v>1930</v>
      </c>
      <c r="E766" s="615">
        <f ca="1">VLOOKUP(A766,Data!C:I,7,FALSE)</f>
        <v>0</v>
      </c>
      <c r="F766" s="709" t="str">
        <f t="shared" si="46"/>
        <v>ID.RA-63</v>
      </c>
      <c r="G766" s="709" t="str">
        <f t="shared" ca="1" si="47"/>
        <v>ID.RA-630</v>
      </c>
    </row>
    <row r="767" spans="1:7" x14ac:dyDescent="0.25">
      <c r="A767" t="s">
        <v>205</v>
      </c>
      <c r="B767" s="615">
        <v>3</v>
      </c>
      <c r="C767" t="s">
        <v>1830</v>
      </c>
      <c r="D767" t="s">
        <v>1907</v>
      </c>
      <c r="E767" s="615">
        <f ca="1">VLOOKUP(A767,Data!C:I,7,FALSE)</f>
        <v>0</v>
      </c>
      <c r="F767" s="709" t="str">
        <f t="shared" si="46"/>
        <v>DE.DP-43</v>
      </c>
      <c r="G767" s="709" t="str">
        <f t="shared" ca="1" si="47"/>
        <v>DE.DP-430</v>
      </c>
    </row>
    <row r="768" spans="1:7" x14ac:dyDescent="0.25">
      <c r="A768" t="s">
        <v>205</v>
      </c>
      <c r="B768" s="615">
        <v>3</v>
      </c>
      <c r="C768" t="s">
        <v>507</v>
      </c>
      <c r="D768" t="s">
        <v>1940</v>
      </c>
      <c r="E768" s="615">
        <f ca="1">VLOOKUP(A768,Data!C:I,7,FALSE)</f>
        <v>0</v>
      </c>
      <c r="F768" s="709" t="str">
        <f t="shared" si="46"/>
        <v>ID.RA-33</v>
      </c>
      <c r="G768" s="709" t="str">
        <f t="shared" ca="1" si="47"/>
        <v>ID.RA-330</v>
      </c>
    </row>
    <row r="769" spans="1:7" x14ac:dyDescent="0.25">
      <c r="A769" t="s">
        <v>205</v>
      </c>
      <c r="B769" s="615">
        <v>3</v>
      </c>
      <c r="C769" t="s">
        <v>507</v>
      </c>
      <c r="D769" t="s">
        <v>1941</v>
      </c>
      <c r="E769" s="615">
        <f ca="1">VLOOKUP(A769,Data!C:I,7,FALSE)</f>
        <v>0</v>
      </c>
      <c r="F769" s="709" t="str">
        <f t="shared" si="46"/>
        <v>ID.RA-43</v>
      </c>
      <c r="G769" s="709" t="str">
        <f t="shared" ca="1" si="47"/>
        <v>ID.RA-430</v>
      </c>
    </row>
    <row r="770" spans="1:7" x14ac:dyDescent="0.25">
      <c r="A770" t="s">
        <v>205</v>
      </c>
      <c r="B770" s="615">
        <v>3</v>
      </c>
      <c r="C770" t="s">
        <v>507</v>
      </c>
      <c r="D770" t="s">
        <v>1930</v>
      </c>
      <c r="E770" s="615">
        <f ca="1">VLOOKUP(A770,Data!C:I,7,FALSE)</f>
        <v>0</v>
      </c>
      <c r="F770" s="709" t="str">
        <f t="shared" si="46"/>
        <v>ID.RA-63</v>
      </c>
      <c r="G770" s="709" t="str">
        <f t="shared" ca="1" si="47"/>
        <v>ID.RA-630</v>
      </c>
    </row>
    <row r="771" spans="1:7" x14ac:dyDescent="0.25">
      <c r="A771" t="s">
        <v>205</v>
      </c>
      <c r="B771" s="615">
        <v>3</v>
      </c>
      <c r="C771" t="s">
        <v>1831</v>
      </c>
      <c r="D771" t="s">
        <v>1903</v>
      </c>
      <c r="E771" s="615">
        <f ca="1">VLOOKUP(A771,Data!C:I,7,FALSE)</f>
        <v>0</v>
      </c>
      <c r="F771" s="709" t="str">
        <f t="shared" ref="F771:F834" si="48">CONCATENATE($D771,$B771)</f>
        <v>RS.CO-33</v>
      </c>
      <c r="G771" s="709" t="str">
        <f t="shared" ref="G771:G834" ca="1" si="49">_xlfn.IFNA(CONCATENATE(F771,$E771),CONCATENATE(F771,$E771,0))</f>
        <v>RS.CO-330</v>
      </c>
    </row>
    <row r="772" spans="1:7" x14ac:dyDescent="0.25">
      <c r="A772" t="s">
        <v>207</v>
      </c>
      <c r="B772" s="615">
        <v>3</v>
      </c>
      <c r="C772" t="s">
        <v>1830</v>
      </c>
      <c r="D772" t="s">
        <v>1912</v>
      </c>
      <c r="E772" s="615">
        <f ca="1">VLOOKUP(A772,Data!C:I,7,FALSE)</f>
        <v>0</v>
      </c>
      <c r="F772" s="709" t="str">
        <f t="shared" si="48"/>
        <v>DE.AE-53</v>
      </c>
      <c r="G772" s="709" t="str">
        <f t="shared" ca="1" si="49"/>
        <v>DE.AE-530</v>
      </c>
    </row>
    <row r="773" spans="1:7" x14ac:dyDescent="0.25">
      <c r="A773" t="s">
        <v>207</v>
      </c>
      <c r="B773" s="615">
        <v>3</v>
      </c>
      <c r="C773" t="s">
        <v>1829</v>
      </c>
      <c r="D773" t="s">
        <v>1942</v>
      </c>
      <c r="E773" s="615">
        <f ca="1">VLOOKUP(A773,Data!C:I,7,FALSE)</f>
        <v>0</v>
      </c>
      <c r="F773" s="709" t="str">
        <f t="shared" si="48"/>
        <v>PR.IP-123</v>
      </c>
      <c r="G773" s="709" t="str">
        <f t="shared" ca="1" si="49"/>
        <v>PR.IP-1230</v>
      </c>
    </row>
    <row r="774" spans="1:7" x14ac:dyDescent="0.25">
      <c r="A774" t="s">
        <v>209</v>
      </c>
      <c r="B774" s="615">
        <v>3</v>
      </c>
      <c r="C774" t="s">
        <v>1830</v>
      </c>
      <c r="D774" t="s">
        <v>1907</v>
      </c>
      <c r="E774" s="615">
        <f ca="1">VLOOKUP(A774,Data!C:I,7,FALSE)</f>
        <v>0</v>
      </c>
      <c r="F774" s="709" t="str">
        <f t="shared" si="48"/>
        <v>DE.DP-43</v>
      </c>
      <c r="G774" s="709" t="str">
        <f t="shared" ca="1" si="49"/>
        <v>DE.DP-430</v>
      </c>
    </row>
    <row r="775" spans="1:7" x14ac:dyDescent="0.25">
      <c r="A775" t="s">
        <v>209</v>
      </c>
      <c r="B775" s="615">
        <v>3</v>
      </c>
      <c r="C775" t="s">
        <v>507</v>
      </c>
      <c r="D775" t="s">
        <v>1938</v>
      </c>
      <c r="E775" s="615">
        <f ca="1">VLOOKUP(A775,Data!C:I,7,FALSE)</f>
        <v>0</v>
      </c>
      <c r="F775" s="709" t="str">
        <f t="shared" si="48"/>
        <v>ID.RA-23</v>
      </c>
      <c r="G775" s="709" t="str">
        <f t="shared" ca="1" si="49"/>
        <v>ID.RA-230</v>
      </c>
    </row>
    <row r="776" spans="1:7" x14ac:dyDescent="0.25">
      <c r="A776" t="s">
        <v>209</v>
      </c>
      <c r="B776" s="615">
        <v>3</v>
      </c>
      <c r="C776" t="s">
        <v>507</v>
      </c>
      <c r="D776" t="s">
        <v>1940</v>
      </c>
      <c r="E776" s="615">
        <f ca="1">VLOOKUP(A776,Data!C:I,7,FALSE)</f>
        <v>0</v>
      </c>
      <c r="F776" s="709" t="str">
        <f t="shared" si="48"/>
        <v>ID.RA-33</v>
      </c>
      <c r="G776" s="709" t="str">
        <f t="shared" ca="1" si="49"/>
        <v>ID.RA-330</v>
      </c>
    </row>
    <row r="777" spans="1:7" x14ac:dyDescent="0.25">
      <c r="A777" t="s">
        <v>209</v>
      </c>
      <c r="B777" s="615">
        <v>3</v>
      </c>
      <c r="C777" t="s">
        <v>1831</v>
      </c>
      <c r="D777" t="s">
        <v>1939</v>
      </c>
      <c r="E777" s="615">
        <f ca="1">VLOOKUP(A777,Data!C:I,7,FALSE)</f>
        <v>0</v>
      </c>
      <c r="F777" s="709" t="str">
        <f t="shared" si="48"/>
        <v>RS.AN-53</v>
      </c>
      <c r="G777" s="709" t="str">
        <f t="shared" ca="1" si="49"/>
        <v>RS.AN-530</v>
      </c>
    </row>
    <row r="778" spans="1:7" x14ac:dyDescent="0.25">
      <c r="A778" t="s">
        <v>209</v>
      </c>
      <c r="B778" s="615">
        <v>3</v>
      </c>
      <c r="C778" t="s">
        <v>1831</v>
      </c>
      <c r="D778" t="s">
        <v>1903</v>
      </c>
      <c r="E778" s="615">
        <f ca="1">VLOOKUP(A778,Data!C:I,7,FALSE)</f>
        <v>0</v>
      </c>
      <c r="F778" s="709" t="str">
        <f t="shared" si="48"/>
        <v>RS.CO-33</v>
      </c>
      <c r="G778" s="709" t="str">
        <f t="shared" ca="1" si="49"/>
        <v>RS.CO-330</v>
      </c>
    </row>
    <row r="779" spans="1:7" x14ac:dyDescent="0.25">
      <c r="A779" t="s">
        <v>209</v>
      </c>
      <c r="B779" s="615">
        <v>3</v>
      </c>
      <c r="C779" t="s">
        <v>1831</v>
      </c>
      <c r="D779" t="s">
        <v>1934</v>
      </c>
      <c r="E779" s="615">
        <f ca="1">VLOOKUP(A779,Data!C:I,7,FALSE)</f>
        <v>0</v>
      </c>
      <c r="F779" s="709" t="str">
        <f t="shared" si="48"/>
        <v>RS.CO-53</v>
      </c>
      <c r="G779" s="709" t="str">
        <f t="shared" ca="1" si="49"/>
        <v>RS.CO-530</v>
      </c>
    </row>
    <row r="780" spans="1:7" x14ac:dyDescent="0.25">
      <c r="A780" t="s">
        <v>215</v>
      </c>
      <c r="B780" s="615">
        <v>2</v>
      </c>
      <c r="C780" t="s">
        <v>1829</v>
      </c>
      <c r="D780" t="s">
        <v>1942</v>
      </c>
      <c r="E780" s="615">
        <f ca="1">VLOOKUP(A780,Data!C:I,7,FALSE)</f>
        <v>0</v>
      </c>
      <c r="F780" s="709" t="str">
        <f t="shared" si="48"/>
        <v>PR.IP-122</v>
      </c>
      <c r="G780" s="709" t="str">
        <f t="shared" ca="1" si="49"/>
        <v>PR.IP-1220</v>
      </c>
    </row>
    <row r="781" spans="1:7" x14ac:dyDescent="0.25">
      <c r="A781" t="s">
        <v>216</v>
      </c>
      <c r="B781" s="615">
        <v>2</v>
      </c>
      <c r="C781" t="s">
        <v>1829</v>
      </c>
      <c r="D781" t="s">
        <v>1942</v>
      </c>
      <c r="E781" s="615">
        <f ca="1">VLOOKUP(A781,Data!C:I,7,FALSE)</f>
        <v>0</v>
      </c>
      <c r="F781" s="709" t="str">
        <f t="shared" si="48"/>
        <v>PR.IP-122</v>
      </c>
      <c r="G781" s="709" t="str">
        <f t="shared" ca="1" si="49"/>
        <v>PR.IP-1220</v>
      </c>
    </row>
    <row r="782" spans="1:7" x14ac:dyDescent="0.25">
      <c r="A782" t="s">
        <v>217</v>
      </c>
      <c r="B782" s="615">
        <v>3</v>
      </c>
      <c r="C782" t="s">
        <v>1829</v>
      </c>
      <c r="D782" t="s">
        <v>1942</v>
      </c>
      <c r="E782" s="615">
        <f ca="1">VLOOKUP(A782,Data!C:I,7,FALSE)</f>
        <v>0</v>
      </c>
      <c r="F782" s="709" t="str">
        <f t="shared" si="48"/>
        <v>PR.IP-123</v>
      </c>
      <c r="G782" s="709" t="str">
        <f t="shared" ca="1" si="49"/>
        <v>PR.IP-1230</v>
      </c>
    </row>
    <row r="783" spans="1:7" x14ac:dyDescent="0.25">
      <c r="A783" t="s">
        <v>219</v>
      </c>
      <c r="B783" s="615">
        <v>3</v>
      </c>
      <c r="C783" t="s">
        <v>507</v>
      </c>
      <c r="D783" t="s">
        <v>1857</v>
      </c>
      <c r="E783" s="615">
        <f ca="1">VLOOKUP(A783,Data!C:I,7,FALSE)</f>
        <v>0</v>
      </c>
      <c r="F783" s="709" t="str">
        <f t="shared" si="48"/>
        <v>ID.AM-63</v>
      </c>
      <c r="G783" s="709" t="str">
        <f t="shared" ca="1" si="49"/>
        <v>ID.AM-630</v>
      </c>
    </row>
    <row r="784" spans="1:7" x14ac:dyDescent="0.25">
      <c r="A784" t="s">
        <v>219</v>
      </c>
      <c r="B784" s="615">
        <v>3</v>
      </c>
      <c r="C784" t="s">
        <v>507</v>
      </c>
      <c r="D784" t="s">
        <v>1858</v>
      </c>
      <c r="E784" s="615">
        <f ca="1">VLOOKUP(A784,Data!C:I,7,FALSE)</f>
        <v>0</v>
      </c>
      <c r="F784" s="709" t="str">
        <f t="shared" si="48"/>
        <v>ID.GV-23</v>
      </c>
      <c r="G784" s="709" t="str">
        <f t="shared" ca="1" si="49"/>
        <v>ID.GV-230</v>
      </c>
    </row>
    <row r="785" spans="1:7" x14ac:dyDescent="0.25">
      <c r="A785" t="s">
        <v>220</v>
      </c>
      <c r="B785" s="615">
        <v>3</v>
      </c>
      <c r="C785" t="s">
        <v>1829</v>
      </c>
      <c r="D785" t="s">
        <v>1859</v>
      </c>
      <c r="E785" s="615">
        <f ca="1">VLOOKUP(A785,Data!C:I,7,FALSE)</f>
        <v>0</v>
      </c>
      <c r="F785" s="709" t="str">
        <f t="shared" si="48"/>
        <v>PR.IP-83</v>
      </c>
      <c r="G785" s="709" t="str">
        <f t="shared" ca="1" si="49"/>
        <v>PR.IP-830</v>
      </c>
    </row>
    <row r="786" spans="1:7" x14ac:dyDescent="0.25">
      <c r="A786" t="s">
        <v>315</v>
      </c>
      <c r="B786" s="615">
        <v>1</v>
      </c>
      <c r="C786" t="s">
        <v>1830</v>
      </c>
      <c r="D786" t="s">
        <v>1906</v>
      </c>
      <c r="E786" s="615">
        <f ca="1">VLOOKUP(A786,Data!C:I,7,FALSE)</f>
        <v>0</v>
      </c>
      <c r="F786" s="709" t="str">
        <f t="shared" si="48"/>
        <v>DE.DP-11</v>
      </c>
      <c r="G786" s="709" t="str">
        <f t="shared" ca="1" si="49"/>
        <v>DE.DP-110</v>
      </c>
    </row>
    <row r="787" spans="1:7" x14ac:dyDescent="0.25">
      <c r="A787" t="s">
        <v>315</v>
      </c>
      <c r="B787" s="615">
        <v>1</v>
      </c>
      <c r="C787" t="s">
        <v>507</v>
      </c>
      <c r="D787" t="s">
        <v>1857</v>
      </c>
      <c r="E787" s="615">
        <f ca="1">VLOOKUP(A787,Data!C:I,7,FALSE)</f>
        <v>0</v>
      </c>
      <c r="F787" s="709" t="str">
        <f t="shared" si="48"/>
        <v>ID.AM-61</v>
      </c>
      <c r="G787" s="709" t="str">
        <f t="shared" ca="1" si="49"/>
        <v>ID.AM-610</v>
      </c>
    </row>
    <row r="788" spans="1:7" x14ac:dyDescent="0.25">
      <c r="A788" t="s">
        <v>315</v>
      </c>
      <c r="B788" s="615">
        <v>1</v>
      </c>
      <c r="C788" t="s">
        <v>507</v>
      </c>
      <c r="D788" t="s">
        <v>1858</v>
      </c>
      <c r="E788" s="615">
        <f ca="1">VLOOKUP(A788,Data!C:I,7,FALSE)</f>
        <v>0</v>
      </c>
      <c r="F788" s="709" t="str">
        <f t="shared" si="48"/>
        <v>ID.GV-21</v>
      </c>
      <c r="G788" s="709" t="str">
        <f t="shared" ca="1" si="49"/>
        <v>ID.GV-210</v>
      </c>
    </row>
    <row r="789" spans="1:7" x14ac:dyDescent="0.25">
      <c r="A789" t="s">
        <v>315</v>
      </c>
      <c r="B789" s="615">
        <v>1</v>
      </c>
      <c r="C789" t="s">
        <v>1829</v>
      </c>
      <c r="D789" t="s">
        <v>1943</v>
      </c>
      <c r="E789" s="615">
        <f ca="1">VLOOKUP(A789,Data!C:I,7,FALSE)</f>
        <v>0</v>
      </c>
      <c r="F789" s="709" t="str">
        <f t="shared" si="48"/>
        <v>PR.AT-21</v>
      </c>
      <c r="G789" s="709" t="str">
        <f t="shared" ca="1" si="49"/>
        <v>PR.AT-210</v>
      </c>
    </row>
    <row r="790" spans="1:7" x14ac:dyDescent="0.25">
      <c r="A790" t="s">
        <v>315</v>
      </c>
      <c r="B790" s="615">
        <v>1</v>
      </c>
      <c r="C790" t="s">
        <v>1829</v>
      </c>
      <c r="D790" t="s">
        <v>1944</v>
      </c>
      <c r="E790" s="615">
        <f ca="1">VLOOKUP(A790,Data!C:I,7,FALSE)</f>
        <v>0</v>
      </c>
      <c r="F790" s="709" t="str">
        <f t="shared" si="48"/>
        <v>PR.AT-31</v>
      </c>
      <c r="G790" s="709" t="str">
        <f t="shared" ca="1" si="49"/>
        <v>PR.AT-310</v>
      </c>
    </row>
    <row r="791" spans="1:7" x14ac:dyDescent="0.25">
      <c r="A791" t="s">
        <v>315</v>
      </c>
      <c r="B791" s="615">
        <v>1</v>
      </c>
      <c r="C791" t="s">
        <v>1829</v>
      </c>
      <c r="D791" t="s">
        <v>1893</v>
      </c>
      <c r="E791" s="615">
        <f ca="1">VLOOKUP(A791,Data!C:I,7,FALSE)</f>
        <v>0</v>
      </c>
      <c r="F791" s="709" t="str">
        <f t="shared" si="48"/>
        <v>PR.AT-41</v>
      </c>
      <c r="G791" s="709" t="str">
        <f t="shared" ca="1" si="49"/>
        <v>PR.AT-410</v>
      </c>
    </row>
    <row r="792" spans="1:7" x14ac:dyDescent="0.25">
      <c r="A792" t="s">
        <v>315</v>
      </c>
      <c r="B792" s="615">
        <v>1</v>
      </c>
      <c r="C792" t="s">
        <v>1829</v>
      </c>
      <c r="D792" t="s">
        <v>1945</v>
      </c>
      <c r="E792" s="615">
        <f ca="1">VLOOKUP(A792,Data!C:I,7,FALSE)</f>
        <v>0</v>
      </c>
      <c r="F792" s="709" t="str">
        <f t="shared" si="48"/>
        <v>PR.AT-51</v>
      </c>
      <c r="G792" s="709" t="str">
        <f t="shared" ca="1" si="49"/>
        <v>PR.AT-510</v>
      </c>
    </row>
    <row r="793" spans="1:7" x14ac:dyDescent="0.25">
      <c r="A793" t="s">
        <v>316</v>
      </c>
      <c r="B793" s="615">
        <v>1</v>
      </c>
      <c r="C793" t="s">
        <v>1830</v>
      </c>
      <c r="D793" t="s">
        <v>1906</v>
      </c>
      <c r="E793" s="615">
        <f ca="1">VLOOKUP(A793,Data!C:I,7,FALSE)</f>
        <v>0</v>
      </c>
      <c r="F793" s="709" t="str">
        <f t="shared" si="48"/>
        <v>DE.DP-11</v>
      </c>
      <c r="G793" s="709" t="str">
        <f t="shared" ca="1" si="49"/>
        <v>DE.DP-110</v>
      </c>
    </row>
    <row r="794" spans="1:7" x14ac:dyDescent="0.25">
      <c r="A794" t="s">
        <v>316</v>
      </c>
      <c r="B794" s="615">
        <v>1</v>
      </c>
      <c r="C794" t="s">
        <v>507</v>
      </c>
      <c r="D794" t="s">
        <v>1857</v>
      </c>
      <c r="E794" s="615">
        <f ca="1">VLOOKUP(A794,Data!C:I,7,FALSE)</f>
        <v>0</v>
      </c>
      <c r="F794" s="709" t="str">
        <f t="shared" si="48"/>
        <v>ID.AM-61</v>
      </c>
      <c r="G794" s="709" t="str">
        <f t="shared" ca="1" si="49"/>
        <v>ID.AM-610</v>
      </c>
    </row>
    <row r="795" spans="1:7" x14ac:dyDescent="0.25">
      <c r="A795" t="s">
        <v>316</v>
      </c>
      <c r="B795" s="615">
        <v>1</v>
      </c>
      <c r="C795" t="s">
        <v>507</v>
      </c>
      <c r="D795" t="s">
        <v>1858</v>
      </c>
      <c r="E795" s="615">
        <f ca="1">VLOOKUP(A795,Data!C:I,7,FALSE)</f>
        <v>0</v>
      </c>
      <c r="F795" s="709" t="str">
        <f t="shared" si="48"/>
        <v>ID.GV-21</v>
      </c>
      <c r="G795" s="709" t="str">
        <f t="shared" ca="1" si="49"/>
        <v>ID.GV-210</v>
      </c>
    </row>
    <row r="796" spans="1:7" x14ac:dyDescent="0.25">
      <c r="A796" t="s">
        <v>316</v>
      </c>
      <c r="B796" s="615">
        <v>1</v>
      </c>
      <c r="C796" t="s">
        <v>1829</v>
      </c>
      <c r="D796" t="s">
        <v>1943</v>
      </c>
      <c r="E796" s="615">
        <f ca="1">VLOOKUP(A796,Data!C:I,7,FALSE)</f>
        <v>0</v>
      </c>
      <c r="F796" s="709" t="str">
        <f t="shared" si="48"/>
        <v>PR.AT-21</v>
      </c>
      <c r="G796" s="709" t="str">
        <f t="shared" ca="1" si="49"/>
        <v>PR.AT-210</v>
      </c>
    </row>
    <row r="797" spans="1:7" x14ac:dyDescent="0.25">
      <c r="A797" t="s">
        <v>316</v>
      </c>
      <c r="B797" s="615">
        <v>1</v>
      </c>
      <c r="C797" t="s">
        <v>1829</v>
      </c>
      <c r="D797" t="s">
        <v>1944</v>
      </c>
      <c r="E797" s="615">
        <f ca="1">VLOOKUP(A797,Data!C:I,7,FALSE)</f>
        <v>0</v>
      </c>
      <c r="F797" s="709" t="str">
        <f t="shared" si="48"/>
        <v>PR.AT-31</v>
      </c>
      <c r="G797" s="709" t="str">
        <f t="shared" ca="1" si="49"/>
        <v>PR.AT-310</v>
      </c>
    </row>
    <row r="798" spans="1:7" x14ac:dyDescent="0.25">
      <c r="A798" t="s">
        <v>316</v>
      </c>
      <c r="B798" s="615">
        <v>1</v>
      </c>
      <c r="C798" t="s">
        <v>1829</v>
      </c>
      <c r="D798" t="s">
        <v>1893</v>
      </c>
      <c r="E798" s="615">
        <f ca="1">VLOOKUP(A798,Data!C:I,7,FALSE)</f>
        <v>0</v>
      </c>
      <c r="F798" s="709" t="str">
        <f t="shared" si="48"/>
        <v>PR.AT-41</v>
      </c>
      <c r="G798" s="709" t="str">
        <f t="shared" ca="1" si="49"/>
        <v>PR.AT-410</v>
      </c>
    </row>
    <row r="799" spans="1:7" x14ac:dyDescent="0.25">
      <c r="A799" t="s">
        <v>316</v>
      </c>
      <c r="B799" s="615">
        <v>1</v>
      </c>
      <c r="C799" t="s">
        <v>1829</v>
      </c>
      <c r="D799" t="s">
        <v>1945</v>
      </c>
      <c r="E799" s="615">
        <f ca="1">VLOOKUP(A799,Data!C:I,7,FALSE)</f>
        <v>0</v>
      </c>
      <c r="F799" s="709" t="str">
        <f t="shared" si="48"/>
        <v>PR.AT-51</v>
      </c>
      <c r="G799" s="709" t="str">
        <f t="shared" ca="1" si="49"/>
        <v>PR.AT-510</v>
      </c>
    </row>
    <row r="800" spans="1:7" x14ac:dyDescent="0.25">
      <c r="A800" t="s">
        <v>317</v>
      </c>
      <c r="B800" s="615">
        <v>2</v>
      </c>
      <c r="C800" t="s">
        <v>1830</v>
      </c>
      <c r="D800" t="s">
        <v>1906</v>
      </c>
      <c r="E800" s="615">
        <f ca="1">VLOOKUP(A800,Data!C:I,7,FALSE)</f>
        <v>0</v>
      </c>
      <c r="F800" s="709" t="str">
        <f t="shared" si="48"/>
        <v>DE.DP-12</v>
      </c>
      <c r="G800" s="709" t="str">
        <f t="shared" ca="1" si="49"/>
        <v>DE.DP-120</v>
      </c>
    </row>
    <row r="801" spans="1:7" x14ac:dyDescent="0.25">
      <c r="A801" t="s">
        <v>317</v>
      </c>
      <c r="B801" s="615">
        <v>2</v>
      </c>
      <c r="C801" t="s">
        <v>507</v>
      </c>
      <c r="D801" t="s">
        <v>1857</v>
      </c>
      <c r="E801" s="615">
        <f ca="1">VLOOKUP(A801,Data!C:I,7,FALSE)</f>
        <v>0</v>
      </c>
      <c r="F801" s="709" t="str">
        <f t="shared" si="48"/>
        <v>ID.AM-62</v>
      </c>
      <c r="G801" s="709" t="str">
        <f t="shared" ca="1" si="49"/>
        <v>ID.AM-620</v>
      </c>
    </row>
    <row r="802" spans="1:7" x14ac:dyDescent="0.25">
      <c r="A802" t="s">
        <v>317</v>
      </c>
      <c r="B802" s="615">
        <v>2</v>
      </c>
      <c r="C802" t="s">
        <v>507</v>
      </c>
      <c r="D802" t="s">
        <v>1858</v>
      </c>
      <c r="E802" s="615">
        <f ca="1">VLOOKUP(A802,Data!C:I,7,FALSE)</f>
        <v>0</v>
      </c>
      <c r="F802" s="709" t="str">
        <f t="shared" si="48"/>
        <v>ID.GV-22</v>
      </c>
      <c r="G802" s="709" t="str">
        <f t="shared" ca="1" si="49"/>
        <v>ID.GV-220</v>
      </c>
    </row>
    <row r="803" spans="1:7" x14ac:dyDescent="0.25">
      <c r="A803" t="s">
        <v>317</v>
      </c>
      <c r="B803" s="615">
        <v>2</v>
      </c>
      <c r="C803" t="s">
        <v>1829</v>
      </c>
      <c r="D803" t="s">
        <v>1943</v>
      </c>
      <c r="E803" s="615">
        <f ca="1">VLOOKUP(A803,Data!C:I,7,FALSE)</f>
        <v>0</v>
      </c>
      <c r="F803" s="709" t="str">
        <f t="shared" si="48"/>
        <v>PR.AT-22</v>
      </c>
      <c r="G803" s="709" t="str">
        <f t="shared" ca="1" si="49"/>
        <v>PR.AT-220</v>
      </c>
    </row>
    <row r="804" spans="1:7" x14ac:dyDescent="0.25">
      <c r="A804" t="s">
        <v>317</v>
      </c>
      <c r="B804" s="615">
        <v>2</v>
      </c>
      <c r="C804" t="s">
        <v>1829</v>
      </c>
      <c r="D804" t="s">
        <v>1944</v>
      </c>
      <c r="E804" s="615">
        <f ca="1">VLOOKUP(A804,Data!C:I,7,FALSE)</f>
        <v>0</v>
      </c>
      <c r="F804" s="709" t="str">
        <f t="shared" si="48"/>
        <v>PR.AT-32</v>
      </c>
      <c r="G804" s="709" t="str">
        <f t="shared" ca="1" si="49"/>
        <v>PR.AT-320</v>
      </c>
    </row>
    <row r="805" spans="1:7" x14ac:dyDescent="0.25">
      <c r="A805" t="s">
        <v>317</v>
      </c>
      <c r="B805" s="615">
        <v>2</v>
      </c>
      <c r="C805" t="s">
        <v>1829</v>
      </c>
      <c r="D805" t="s">
        <v>1893</v>
      </c>
      <c r="E805" s="615">
        <f ca="1">VLOOKUP(A805,Data!C:I,7,FALSE)</f>
        <v>0</v>
      </c>
      <c r="F805" s="709" t="str">
        <f t="shared" si="48"/>
        <v>PR.AT-42</v>
      </c>
      <c r="G805" s="709" t="str">
        <f t="shared" ca="1" si="49"/>
        <v>PR.AT-420</v>
      </c>
    </row>
    <row r="806" spans="1:7" x14ac:dyDescent="0.25">
      <c r="A806" t="s">
        <v>317</v>
      </c>
      <c r="B806" s="615">
        <v>2</v>
      </c>
      <c r="C806" t="s">
        <v>1829</v>
      </c>
      <c r="D806" t="s">
        <v>1945</v>
      </c>
      <c r="E806" s="615">
        <f ca="1">VLOOKUP(A806,Data!C:I,7,FALSE)</f>
        <v>0</v>
      </c>
      <c r="F806" s="709" t="str">
        <f t="shared" si="48"/>
        <v>PR.AT-52</v>
      </c>
      <c r="G806" s="709" t="str">
        <f t="shared" ca="1" si="49"/>
        <v>PR.AT-520</v>
      </c>
    </row>
    <row r="807" spans="1:7" x14ac:dyDescent="0.25">
      <c r="A807" t="s">
        <v>318</v>
      </c>
      <c r="B807" s="615">
        <v>2</v>
      </c>
      <c r="C807" t="s">
        <v>1830</v>
      </c>
      <c r="D807" t="s">
        <v>1906</v>
      </c>
      <c r="E807" s="615">
        <f ca="1">VLOOKUP(A807,Data!C:I,7,FALSE)</f>
        <v>0</v>
      </c>
      <c r="F807" s="709" t="str">
        <f t="shared" si="48"/>
        <v>DE.DP-12</v>
      </c>
      <c r="G807" s="709" t="str">
        <f t="shared" ca="1" si="49"/>
        <v>DE.DP-120</v>
      </c>
    </row>
    <row r="808" spans="1:7" x14ac:dyDescent="0.25">
      <c r="A808" t="s">
        <v>318</v>
      </c>
      <c r="B808" s="615">
        <v>2</v>
      </c>
      <c r="C808" t="s">
        <v>507</v>
      </c>
      <c r="D808" t="s">
        <v>1857</v>
      </c>
      <c r="E808" s="615">
        <f ca="1">VLOOKUP(A808,Data!C:I,7,FALSE)</f>
        <v>0</v>
      </c>
      <c r="F808" s="709" t="str">
        <f t="shared" si="48"/>
        <v>ID.AM-62</v>
      </c>
      <c r="G808" s="709" t="str">
        <f t="shared" ca="1" si="49"/>
        <v>ID.AM-620</v>
      </c>
    </row>
    <row r="809" spans="1:7" x14ac:dyDescent="0.25">
      <c r="A809" t="s">
        <v>318</v>
      </c>
      <c r="B809" s="615">
        <v>2</v>
      </c>
      <c r="C809" t="s">
        <v>1829</v>
      </c>
      <c r="D809" t="s">
        <v>1943</v>
      </c>
      <c r="E809" s="615">
        <f ca="1">VLOOKUP(A809,Data!C:I,7,FALSE)</f>
        <v>0</v>
      </c>
      <c r="F809" s="709" t="str">
        <f t="shared" si="48"/>
        <v>PR.AT-22</v>
      </c>
      <c r="G809" s="709" t="str">
        <f t="shared" ca="1" si="49"/>
        <v>PR.AT-220</v>
      </c>
    </row>
    <row r="810" spans="1:7" x14ac:dyDescent="0.25">
      <c r="A810" t="s">
        <v>318</v>
      </c>
      <c r="B810" s="615">
        <v>2</v>
      </c>
      <c r="C810" t="s">
        <v>1829</v>
      </c>
      <c r="D810" t="s">
        <v>1944</v>
      </c>
      <c r="E810" s="615">
        <f ca="1">VLOOKUP(A810,Data!C:I,7,FALSE)</f>
        <v>0</v>
      </c>
      <c r="F810" s="709" t="str">
        <f t="shared" si="48"/>
        <v>PR.AT-32</v>
      </c>
      <c r="G810" s="709" t="str">
        <f t="shared" ca="1" si="49"/>
        <v>PR.AT-320</v>
      </c>
    </row>
    <row r="811" spans="1:7" x14ac:dyDescent="0.25">
      <c r="A811" t="s">
        <v>318</v>
      </c>
      <c r="B811" s="615">
        <v>2</v>
      </c>
      <c r="C811" t="s">
        <v>1829</v>
      </c>
      <c r="D811" t="s">
        <v>1893</v>
      </c>
      <c r="E811" s="615">
        <f ca="1">VLOOKUP(A811,Data!C:I,7,FALSE)</f>
        <v>0</v>
      </c>
      <c r="F811" s="709" t="str">
        <f t="shared" si="48"/>
        <v>PR.AT-42</v>
      </c>
      <c r="G811" s="709" t="str">
        <f t="shared" ca="1" si="49"/>
        <v>PR.AT-420</v>
      </c>
    </row>
    <row r="812" spans="1:7" x14ac:dyDescent="0.25">
      <c r="A812" t="s">
        <v>318</v>
      </c>
      <c r="B812" s="615">
        <v>2</v>
      </c>
      <c r="C812" t="s">
        <v>1829</v>
      </c>
      <c r="D812" t="s">
        <v>1945</v>
      </c>
      <c r="E812" s="615">
        <f ca="1">VLOOKUP(A812,Data!C:I,7,FALSE)</f>
        <v>0</v>
      </c>
      <c r="F812" s="709" t="str">
        <f t="shared" si="48"/>
        <v>PR.AT-52</v>
      </c>
      <c r="G812" s="709" t="str">
        <f t="shared" ca="1" si="49"/>
        <v>PR.AT-520</v>
      </c>
    </row>
    <row r="813" spans="1:7" x14ac:dyDescent="0.25">
      <c r="A813" t="s">
        <v>319</v>
      </c>
      <c r="B813" s="615">
        <v>3</v>
      </c>
      <c r="C813" t="s">
        <v>1830</v>
      </c>
      <c r="D813" t="s">
        <v>1906</v>
      </c>
      <c r="E813" s="615">
        <f ca="1">VLOOKUP(A813,Data!C:I,7,FALSE)</f>
        <v>0</v>
      </c>
      <c r="F813" s="709" t="str">
        <f t="shared" si="48"/>
        <v>DE.DP-13</v>
      </c>
      <c r="G813" s="709" t="str">
        <f t="shared" ca="1" si="49"/>
        <v>DE.DP-130</v>
      </c>
    </row>
    <row r="814" spans="1:7" x14ac:dyDescent="0.25">
      <c r="A814" t="s">
        <v>319</v>
      </c>
      <c r="B814" s="615">
        <v>3</v>
      </c>
      <c r="C814" t="s">
        <v>507</v>
      </c>
      <c r="D814" t="s">
        <v>1858</v>
      </c>
      <c r="E814" s="615">
        <f ca="1">VLOOKUP(A814,Data!C:I,7,FALSE)</f>
        <v>0</v>
      </c>
      <c r="F814" s="709" t="str">
        <f t="shared" si="48"/>
        <v>ID.GV-23</v>
      </c>
      <c r="G814" s="709" t="str">
        <f t="shared" ca="1" si="49"/>
        <v>ID.GV-230</v>
      </c>
    </row>
    <row r="815" spans="1:7" x14ac:dyDescent="0.25">
      <c r="A815" t="s">
        <v>319</v>
      </c>
      <c r="B815" s="615">
        <v>3</v>
      </c>
      <c r="C815" t="s">
        <v>1829</v>
      </c>
      <c r="D815" t="s">
        <v>1943</v>
      </c>
      <c r="E815" s="615">
        <f ca="1">VLOOKUP(A815,Data!C:I,7,FALSE)</f>
        <v>0</v>
      </c>
      <c r="F815" s="709" t="str">
        <f t="shared" si="48"/>
        <v>PR.AT-23</v>
      </c>
      <c r="G815" s="709" t="str">
        <f t="shared" ca="1" si="49"/>
        <v>PR.AT-230</v>
      </c>
    </row>
    <row r="816" spans="1:7" x14ac:dyDescent="0.25">
      <c r="A816" t="s">
        <v>319</v>
      </c>
      <c r="B816" s="615">
        <v>3</v>
      </c>
      <c r="C816" t="s">
        <v>1829</v>
      </c>
      <c r="D816" t="s">
        <v>1944</v>
      </c>
      <c r="E816" s="615">
        <f ca="1">VLOOKUP(A816,Data!C:I,7,FALSE)</f>
        <v>0</v>
      </c>
      <c r="F816" s="709" t="str">
        <f t="shared" si="48"/>
        <v>PR.AT-33</v>
      </c>
      <c r="G816" s="709" t="str">
        <f t="shared" ca="1" si="49"/>
        <v>PR.AT-330</v>
      </c>
    </row>
    <row r="817" spans="1:7" x14ac:dyDescent="0.25">
      <c r="A817" t="s">
        <v>319</v>
      </c>
      <c r="B817" s="615">
        <v>3</v>
      </c>
      <c r="C817" t="s">
        <v>1829</v>
      </c>
      <c r="D817" t="s">
        <v>1893</v>
      </c>
      <c r="E817" s="615">
        <f ca="1">VLOOKUP(A817,Data!C:I,7,FALSE)</f>
        <v>0</v>
      </c>
      <c r="F817" s="709" t="str">
        <f t="shared" si="48"/>
        <v>PR.AT-43</v>
      </c>
      <c r="G817" s="709" t="str">
        <f t="shared" ca="1" si="49"/>
        <v>PR.AT-430</v>
      </c>
    </row>
    <row r="818" spans="1:7" x14ac:dyDescent="0.25">
      <c r="A818" t="s">
        <v>319</v>
      </c>
      <c r="B818" s="615">
        <v>3</v>
      </c>
      <c r="C818" t="s">
        <v>1829</v>
      </c>
      <c r="D818" t="s">
        <v>1945</v>
      </c>
      <c r="E818" s="615">
        <f ca="1">VLOOKUP(A818,Data!C:I,7,FALSE)</f>
        <v>0</v>
      </c>
      <c r="F818" s="709" t="str">
        <f t="shared" si="48"/>
        <v>PR.AT-53</v>
      </c>
      <c r="G818" s="709" t="str">
        <f t="shared" ca="1" si="49"/>
        <v>PR.AT-530</v>
      </c>
    </row>
    <row r="819" spans="1:7" x14ac:dyDescent="0.25">
      <c r="A819" t="s">
        <v>320</v>
      </c>
      <c r="B819" s="615">
        <v>3</v>
      </c>
      <c r="C819" t="s">
        <v>1830</v>
      </c>
      <c r="D819" t="s">
        <v>1906</v>
      </c>
      <c r="E819" s="615">
        <f ca="1">VLOOKUP(A819,Data!C:I,7,FALSE)</f>
        <v>0</v>
      </c>
      <c r="F819" s="709" t="str">
        <f t="shared" si="48"/>
        <v>DE.DP-13</v>
      </c>
      <c r="G819" s="709" t="str">
        <f t="shared" ca="1" si="49"/>
        <v>DE.DP-130</v>
      </c>
    </row>
    <row r="820" spans="1:7" x14ac:dyDescent="0.25">
      <c r="A820" t="s">
        <v>320</v>
      </c>
      <c r="B820" s="615">
        <v>3</v>
      </c>
      <c r="C820" t="s">
        <v>507</v>
      </c>
      <c r="D820" t="s">
        <v>1858</v>
      </c>
      <c r="E820" s="615">
        <f ca="1">VLOOKUP(A820,Data!C:I,7,FALSE)</f>
        <v>0</v>
      </c>
      <c r="F820" s="709" t="str">
        <f t="shared" si="48"/>
        <v>ID.GV-23</v>
      </c>
      <c r="G820" s="709" t="str">
        <f t="shared" ca="1" si="49"/>
        <v>ID.GV-230</v>
      </c>
    </row>
    <row r="821" spans="1:7" x14ac:dyDescent="0.25">
      <c r="A821" t="s">
        <v>320</v>
      </c>
      <c r="B821" s="615">
        <v>3</v>
      </c>
      <c r="C821" t="s">
        <v>1829</v>
      </c>
      <c r="D821" t="s">
        <v>1943</v>
      </c>
      <c r="E821" s="615">
        <f ca="1">VLOOKUP(A821,Data!C:I,7,FALSE)</f>
        <v>0</v>
      </c>
      <c r="F821" s="709" t="str">
        <f t="shared" si="48"/>
        <v>PR.AT-23</v>
      </c>
      <c r="G821" s="709" t="str">
        <f t="shared" ca="1" si="49"/>
        <v>PR.AT-230</v>
      </c>
    </row>
    <row r="822" spans="1:7" x14ac:dyDescent="0.25">
      <c r="A822" t="s">
        <v>320</v>
      </c>
      <c r="B822" s="615">
        <v>3</v>
      </c>
      <c r="C822" t="s">
        <v>1829</v>
      </c>
      <c r="D822" t="s">
        <v>1944</v>
      </c>
      <c r="E822" s="615">
        <f ca="1">VLOOKUP(A822,Data!C:I,7,FALSE)</f>
        <v>0</v>
      </c>
      <c r="F822" s="709" t="str">
        <f t="shared" si="48"/>
        <v>PR.AT-33</v>
      </c>
      <c r="G822" s="709" t="str">
        <f t="shared" ca="1" si="49"/>
        <v>PR.AT-330</v>
      </c>
    </row>
    <row r="823" spans="1:7" x14ac:dyDescent="0.25">
      <c r="A823" t="s">
        <v>320</v>
      </c>
      <c r="B823" s="615">
        <v>3</v>
      </c>
      <c r="C823" t="s">
        <v>1829</v>
      </c>
      <c r="D823" t="s">
        <v>1893</v>
      </c>
      <c r="E823" s="615">
        <f ca="1">VLOOKUP(A823,Data!C:I,7,FALSE)</f>
        <v>0</v>
      </c>
      <c r="F823" s="709" t="str">
        <f t="shared" si="48"/>
        <v>PR.AT-43</v>
      </c>
      <c r="G823" s="709" t="str">
        <f t="shared" ca="1" si="49"/>
        <v>PR.AT-430</v>
      </c>
    </row>
    <row r="824" spans="1:7" x14ac:dyDescent="0.25">
      <c r="A824" t="s">
        <v>320</v>
      </c>
      <c r="B824" s="615">
        <v>3</v>
      </c>
      <c r="C824" t="s">
        <v>1829</v>
      </c>
      <c r="D824" t="s">
        <v>1945</v>
      </c>
      <c r="E824" s="615">
        <f ca="1">VLOOKUP(A824,Data!C:I,7,FALSE)</f>
        <v>0</v>
      </c>
      <c r="F824" s="709" t="str">
        <f t="shared" si="48"/>
        <v>PR.AT-53</v>
      </c>
      <c r="G824" s="709" t="str">
        <f t="shared" ca="1" si="49"/>
        <v>PR.AT-530</v>
      </c>
    </row>
    <row r="825" spans="1:7" x14ac:dyDescent="0.25">
      <c r="A825" t="s">
        <v>320</v>
      </c>
      <c r="B825" s="615">
        <v>3</v>
      </c>
      <c r="C825" t="s">
        <v>1829</v>
      </c>
      <c r="D825" t="s">
        <v>1946</v>
      </c>
      <c r="E825" s="615">
        <f ca="1">VLOOKUP(A825,Data!C:I,7,FALSE)</f>
        <v>0</v>
      </c>
      <c r="F825" s="709" t="str">
        <f t="shared" si="48"/>
        <v>PR.IP-113</v>
      </c>
      <c r="G825" s="709" t="str">
        <f t="shared" ca="1" si="49"/>
        <v>PR.IP-1130</v>
      </c>
    </row>
    <row r="826" spans="1:7" x14ac:dyDescent="0.25">
      <c r="A826" t="s">
        <v>321</v>
      </c>
      <c r="B826" s="615">
        <v>1</v>
      </c>
      <c r="C826" t="s">
        <v>1829</v>
      </c>
      <c r="D826" t="s">
        <v>1947</v>
      </c>
      <c r="E826" s="615">
        <f ca="1">VLOOKUP(A826,Data!C:I,7,FALSE)</f>
        <v>0</v>
      </c>
      <c r="F826" s="709" t="str">
        <f t="shared" si="48"/>
        <v>PR.AT-11</v>
      </c>
      <c r="G826" s="709" t="str">
        <f t="shared" ca="1" si="49"/>
        <v>PR.AT-110</v>
      </c>
    </row>
    <row r="827" spans="1:7" x14ac:dyDescent="0.25">
      <c r="A827" t="s">
        <v>322</v>
      </c>
      <c r="B827" s="615">
        <v>1</v>
      </c>
      <c r="C827" t="s">
        <v>1829</v>
      </c>
      <c r="D827" t="s">
        <v>1947</v>
      </c>
      <c r="E827" s="615">
        <f ca="1">VLOOKUP(A827,Data!C:I,7,FALSE)</f>
        <v>0</v>
      </c>
      <c r="F827" s="709" t="str">
        <f t="shared" si="48"/>
        <v>PR.AT-11</v>
      </c>
      <c r="G827" s="709" t="str">
        <f t="shared" ca="1" si="49"/>
        <v>PR.AT-110</v>
      </c>
    </row>
    <row r="828" spans="1:7" x14ac:dyDescent="0.25">
      <c r="A828" t="s">
        <v>323</v>
      </c>
      <c r="B828" s="615">
        <v>2</v>
      </c>
      <c r="C828" t="s">
        <v>1829</v>
      </c>
      <c r="D828" t="s">
        <v>1947</v>
      </c>
      <c r="E828" s="615">
        <f ca="1">VLOOKUP(A828,Data!C:I,7,FALSE)</f>
        <v>0</v>
      </c>
      <c r="F828" s="709" t="str">
        <f t="shared" si="48"/>
        <v>PR.AT-12</v>
      </c>
      <c r="G828" s="709" t="str">
        <f t="shared" ca="1" si="49"/>
        <v>PR.AT-120</v>
      </c>
    </row>
    <row r="829" spans="1:7" x14ac:dyDescent="0.25">
      <c r="A829" t="s">
        <v>324</v>
      </c>
      <c r="B829" s="615">
        <v>2</v>
      </c>
      <c r="C829" t="s">
        <v>1829</v>
      </c>
      <c r="D829" t="s">
        <v>1947</v>
      </c>
      <c r="E829" s="615">
        <f ca="1">VLOOKUP(A829,Data!C:I,7,FALSE)</f>
        <v>0</v>
      </c>
      <c r="F829" s="709" t="str">
        <f t="shared" si="48"/>
        <v>PR.AT-12</v>
      </c>
      <c r="G829" s="709" t="str">
        <f t="shared" ca="1" si="49"/>
        <v>PR.AT-120</v>
      </c>
    </row>
    <row r="830" spans="1:7" x14ac:dyDescent="0.25">
      <c r="A830" t="s">
        <v>325</v>
      </c>
      <c r="B830" s="615">
        <v>3</v>
      </c>
      <c r="C830" t="s">
        <v>1829</v>
      </c>
      <c r="D830" t="s">
        <v>1947</v>
      </c>
      <c r="E830" s="615">
        <f ca="1">VLOOKUP(A830,Data!C:I,7,FALSE)</f>
        <v>0</v>
      </c>
      <c r="F830" s="709" t="str">
        <f t="shared" si="48"/>
        <v>PR.AT-13</v>
      </c>
      <c r="G830" s="709" t="str">
        <f t="shared" ca="1" si="49"/>
        <v>PR.AT-130</v>
      </c>
    </row>
    <row r="831" spans="1:7" x14ac:dyDescent="0.25">
      <c r="A831" t="s">
        <v>326</v>
      </c>
      <c r="B831" s="615">
        <v>3</v>
      </c>
      <c r="C831" t="s">
        <v>1829</v>
      </c>
      <c r="D831" t="s">
        <v>1947</v>
      </c>
      <c r="E831" s="615">
        <f ca="1">VLOOKUP(A831,Data!C:I,7,FALSE)</f>
        <v>0</v>
      </c>
      <c r="F831" s="709" t="str">
        <f t="shared" si="48"/>
        <v>PR.AT-13</v>
      </c>
      <c r="G831" s="709" t="str">
        <f t="shared" ca="1" si="49"/>
        <v>PR.AT-130</v>
      </c>
    </row>
    <row r="832" spans="1:7" x14ac:dyDescent="0.25">
      <c r="A832" t="s">
        <v>327</v>
      </c>
      <c r="B832" s="615">
        <v>1</v>
      </c>
      <c r="C832" t="s">
        <v>1829</v>
      </c>
      <c r="D832" t="s">
        <v>1946</v>
      </c>
      <c r="E832" s="615">
        <f ca="1">VLOOKUP(A832,Data!C:I,7,FALSE)</f>
        <v>0</v>
      </c>
      <c r="F832" s="709" t="str">
        <f t="shared" si="48"/>
        <v>PR.IP-111</v>
      </c>
      <c r="G832" s="709" t="str">
        <f t="shared" ca="1" si="49"/>
        <v>PR.IP-1110</v>
      </c>
    </row>
    <row r="833" spans="1:7" x14ac:dyDescent="0.25">
      <c r="A833" t="s">
        <v>328</v>
      </c>
      <c r="B833" s="615">
        <v>1</v>
      </c>
      <c r="C833" t="s">
        <v>1829</v>
      </c>
      <c r="D833" t="s">
        <v>1946</v>
      </c>
      <c r="E833" s="615">
        <f ca="1">VLOOKUP(A833,Data!C:I,7,FALSE)</f>
        <v>0</v>
      </c>
      <c r="F833" s="709" t="str">
        <f t="shared" si="48"/>
        <v>PR.IP-111</v>
      </c>
      <c r="G833" s="709" t="str">
        <f t="shared" ca="1" si="49"/>
        <v>PR.IP-1110</v>
      </c>
    </row>
    <row r="834" spans="1:7" x14ac:dyDescent="0.25">
      <c r="A834" t="s">
        <v>329</v>
      </c>
      <c r="B834" s="615">
        <v>2</v>
      </c>
      <c r="C834" t="s">
        <v>1829</v>
      </c>
      <c r="D834" t="s">
        <v>1946</v>
      </c>
      <c r="E834" s="615">
        <f ca="1">VLOOKUP(A834,Data!C:I,7,FALSE)</f>
        <v>0</v>
      </c>
      <c r="F834" s="709" t="str">
        <f t="shared" si="48"/>
        <v>PR.IP-112</v>
      </c>
      <c r="G834" s="709" t="str">
        <f t="shared" ca="1" si="49"/>
        <v>PR.IP-1120</v>
      </c>
    </row>
    <row r="835" spans="1:7" x14ac:dyDescent="0.25">
      <c r="A835" t="s">
        <v>330</v>
      </c>
      <c r="B835" s="615">
        <v>2</v>
      </c>
      <c r="C835" t="s">
        <v>1829</v>
      </c>
      <c r="D835" t="s">
        <v>1946</v>
      </c>
      <c r="E835" s="615">
        <f ca="1">VLOOKUP(A835,Data!C:I,7,FALSE)</f>
        <v>0</v>
      </c>
      <c r="F835" s="709" t="str">
        <f t="shared" ref="F835:F846" si="50">CONCATENATE($D835,$B835)</f>
        <v>PR.IP-112</v>
      </c>
      <c r="G835" s="709" t="str">
        <f t="shared" ref="G835:G846" ca="1" si="51">_xlfn.IFNA(CONCATENATE(F835,$E835),CONCATENATE(F835,$E835,0))</f>
        <v>PR.IP-1120</v>
      </c>
    </row>
    <row r="836" spans="1:7" x14ac:dyDescent="0.25">
      <c r="A836" t="s">
        <v>331</v>
      </c>
      <c r="B836" s="615">
        <v>2</v>
      </c>
      <c r="C836" t="s">
        <v>1829</v>
      </c>
      <c r="D836" t="s">
        <v>1946</v>
      </c>
      <c r="E836" s="615">
        <f ca="1">VLOOKUP(A836,Data!C:I,7,FALSE)</f>
        <v>0</v>
      </c>
      <c r="F836" s="709" t="str">
        <f t="shared" si="50"/>
        <v>PR.IP-112</v>
      </c>
      <c r="G836" s="709" t="str">
        <f t="shared" ca="1" si="51"/>
        <v>PR.IP-1120</v>
      </c>
    </row>
    <row r="837" spans="1:7" x14ac:dyDescent="0.25">
      <c r="A837" t="s">
        <v>332</v>
      </c>
      <c r="B837" s="615">
        <v>3</v>
      </c>
      <c r="C837" t="s">
        <v>1829</v>
      </c>
      <c r="D837" t="s">
        <v>1946</v>
      </c>
      <c r="E837" s="615">
        <f ca="1">VLOOKUP(A837,Data!C:I,7,FALSE)</f>
        <v>0</v>
      </c>
      <c r="F837" s="709" t="str">
        <f t="shared" si="50"/>
        <v>PR.IP-113</v>
      </c>
      <c r="G837" s="709" t="str">
        <f t="shared" ca="1" si="51"/>
        <v>PR.IP-1130</v>
      </c>
    </row>
    <row r="838" spans="1:7" x14ac:dyDescent="0.25">
      <c r="A838" t="s">
        <v>1077</v>
      </c>
      <c r="B838" s="615">
        <v>3</v>
      </c>
      <c r="C838" t="s">
        <v>1829</v>
      </c>
      <c r="D838" t="s">
        <v>1946</v>
      </c>
      <c r="E838" s="615">
        <f ca="1">VLOOKUP(A838,Data!C:I,7,FALSE)</f>
        <v>0</v>
      </c>
      <c r="F838" s="709" t="str">
        <f t="shared" si="50"/>
        <v>PR.IP-113</v>
      </c>
      <c r="G838" s="709" t="str">
        <f t="shared" ca="1" si="51"/>
        <v>PR.IP-1130</v>
      </c>
    </row>
    <row r="839" spans="1:7" x14ac:dyDescent="0.25">
      <c r="A839" t="s">
        <v>333</v>
      </c>
      <c r="B839" s="615">
        <v>1</v>
      </c>
      <c r="C839" t="s">
        <v>1829</v>
      </c>
      <c r="D839" t="s">
        <v>1947</v>
      </c>
      <c r="E839" s="615">
        <f ca="1">VLOOKUP(A839,Data!C:I,7,FALSE)</f>
        <v>0</v>
      </c>
      <c r="F839" s="709" t="str">
        <f t="shared" si="50"/>
        <v>PR.AT-11</v>
      </c>
      <c r="G839" s="709" t="str">
        <f t="shared" ca="1" si="51"/>
        <v>PR.AT-110</v>
      </c>
    </row>
    <row r="840" spans="1:7" x14ac:dyDescent="0.25">
      <c r="A840" t="s">
        <v>334</v>
      </c>
      <c r="B840" s="615">
        <v>2</v>
      </c>
      <c r="C840" t="s">
        <v>1829</v>
      </c>
      <c r="D840" t="s">
        <v>1947</v>
      </c>
      <c r="E840" s="615">
        <f ca="1">VLOOKUP(A840,Data!C:I,7,FALSE)</f>
        <v>0</v>
      </c>
      <c r="F840" s="709" t="str">
        <f t="shared" si="50"/>
        <v>PR.AT-12</v>
      </c>
      <c r="G840" s="709" t="str">
        <f t="shared" ca="1" si="51"/>
        <v>PR.AT-120</v>
      </c>
    </row>
    <row r="841" spans="1:7" x14ac:dyDescent="0.25">
      <c r="A841" t="s">
        <v>335</v>
      </c>
      <c r="B841" s="615">
        <v>2</v>
      </c>
      <c r="C841" t="s">
        <v>1829</v>
      </c>
      <c r="D841" t="s">
        <v>1947</v>
      </c>
      <c r="E841" s="615">
        <f ca="1">VLOOKUP(A841,Data!C:I,7,FALSE)</f>
        <v>0</v>
      </c>
      <c r="F841" s="709" t="str">
        <f t="shared" si="50"/>
        <v>PR.AT-12</v>
      </c>
      <c r="G841" s="709" t="str">
        <f t="shared" ca="1" si="51"/>
        <v>PR.AT-120</v>
      </c>
    </row>
    <row r="842" spans="1:7" x14ac:dyDescent="0.25">
      <c r="A842" t="s">
        <v>336</v>
      </c>
      <c r="B842" s="615">
        <v>3</v>
      </c>
      <c r="C842" t="s">
        <v>1829</v>
      </c>
      <c r="D842" t="s">
        <v>1947</v>
      </c>
      <c r="E842" s="615">
        <f ca="1">VLOOKUP(A842,Data!C:I,7,FALSE)</f>
        <v>0</v>
      </c>
      <c r="F842" s="709" t="str">
        <f t="shared" si="50"/>
        <v>PR.AT-13</v>
      </c>
      <c r="G842" s="709" t="str">
        <f t="shared" ca="1" si="51"/>
        <v>PR.AT-130</v>
      </c>
    </row>
    <row r="843" spans="1:7" x14ac:dyDescent="0.25">
      <c r="A843" t="s">
        <v>337</v>
      </c>
      <c r="B843" s="615">
        <v>3</v>
      </c>
      <c r="C843" t="s">
        <v>1829</v>
      </c>
      <c r="D843" t="s">
        <v>1947</v>
      </c>
      <c r="E843" s="615">
        <f ca="1">VLOOKUP(A843,Data!C:I,7,FALSE)</f>
        <v>0</v>
      </c>
      <c r="F843" s="709" t="str">
        <f t="shared" si="50"/>
        <v>PR.AT-13</v>
      </c>
      <c r="G843" s="709" t="str">
        <f t="shared" ca="1" si="51"/>
        <v>PR.AT-130</v>
      </c>
    </row>
    <row r="844" spans="1:7" x14ac:dyDescent="0.25">
      <c r="A844" t="s">
        <v>342</v>
      </c>
      <c r="B844" s="615">
        <v>3</v>
      </c>
      <c r="C844" t="s">
        <v>507</v>
      </c>
      <c r="D844" t="s">
        <v>1857</v>
      </c>
      <c r="E844" s="615">
        <f ca="1">VLOOKUP(A844,Data!C:I,7,FALSE)</f>
        <v>0</v>
      </c>
      <c r="F844" s="709" t="str">
        <f t="shared" si="50"/>
        <v>ID.AM-63</v>
      </c>
      <c r="G844" s="709" t="str">
        <f t="shared" ca="1" si="51"/>
        <v>ID.AM-630</v>
      </c>
    </row>
    <row r="845" spans="1:7" x14ac:dyDescent="0.25">
      <c r="A845" t="s">
        <v>342</v>
      </c>
      <c r="B845" s="615">
        <v>3</v>
      </c>
      <c r="C845" t="s">
        <v>507</v>
      </c>
      <c r="D845" t="s">
        <v>1858</v>
      </c>
      <c r="E845" s="615">
        <f ca="1">VLOOKUP(A845,Data!C:I,7,FALSE)</f>
        <v>0</v>
      </c>
      <c r="F845" s="709" t="str">
        <f t="shared" si="50"/>
        <v>ID.GV-23</v>
      </c>
      <c r="G845" s="709" t="str">
        <f t="shared" ca="1" si="51"/>
        <v>ID.GV-230</v>
      </c>
    </row>
    <row r="846" spans="1:7" x14ac:dyDescent="0.25">
      <c r="A846" t="s">
        <v>343</v>
      </c>
      <c r="B846" s="615">
        <v>3</v>
      </c>
      <c r="C846" t="s">
        <v>1829</v>
      </c>
      <c r="D846" t="s">
        <v>1859</v>
      </c>
      <c r="E846" s="615">
        <f ca="1">VLOOKUP(A846,Data!C:I,7,FALSE)</f>
        <v>0</v>
      </c>
      <c r="F846" s="709" t="str">
        <f t="shared" si="50"/>
        <v>PR.IP-83</v>
      </c>
      <c r="G846" s="709" t="str">
        <f t="shared" ca="1" si="51"/>
        <v>PR.IP-830</v>
      </c>
    </row>
  </sheetData>
  <sheetProtection sheet="1" objects="1" scenarios="1" autoFilter="0"/>
  <autoFilter ref="A1:G1"/>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sheetPr>
  <dimension ref="A1:AE473"/>
  <sheetViews>
    <sheetView showGridLines="0" workbookViewId="0">
      <selection activeCell="J16" sqref="J16"/>
    </sheetView>
  </sheetViews>
  <sheetFormatPr defaultColWidth="9.1796875" defaultRowHeight="13.95" customHeight="1" x14ac:dyDescent="0.25"/>
  <cols>
    <col min="1" max="2" width="1.6328125" style="143" customWidth="1"/>
    <col min="3" max="3" width="2.6328125" style="143" customWidth="1"/>
    <col min="4" max="4" width="22.7265625" style="143" customWidth="1"/>
    <col min="5" max="6" width="15.6328125" style="307" customWidth="1"/>
    <col min="7" max="7" width="5.6328125" style="143" customWidth="1"/>
    <col min="8" max="8" width="2.6328125" style="143" customWidth="1"/>
    <col min="9" max="9" width="5.6328125" style="143" customWidth="1"/>
    <col min="10" max="10" width="15.6328125" style="143" customWidth="1"/>
    <col min="11" max="13" width="15.6328125" style="307" customWidth="1"/>
    <col min="14" max="14" width="5.6328125" style="143" customWidth="1"/>
    <col min="15" max="15" width="1.6328125" style="143" customWidth="1"/>
    <col min="16" max="16" width="1.6328125" style="307" customWidth="1"/>
    <col min="17" max="17" width="9.1796875" style="250"/>
    <col min="18" max="18" width="3.26953125" style="250" customWidth="1"/>
    <col min="19" max="30" width="9.1796875" style="250"/>
    <col min="31" max="31" width="3.1796875" style="250" customWidth="1"/>
    <col min="32" max="16384" width="9.1796875" style="250"/>
  </cols>
  <sheetData>
    <row r="1" spans="1:31" s="143" customFormat="1" ht="13.95" customHeight="1" x14ac:dyDescent="0.25">
      <c r="A1" s="138"/>
      <c r="B1" s="138"/>
      <c r="C1" s="138"/>
      <c r="D1" s="138"/>
      <c r="E1" s="140"/>
      <c r="F1" s="140"/>
      <c r="G1" s="138"/>
      <c r="H1" s="138"/>
      <c r="I1" s="138"/>
      <c r="J1" s="138"/>
      <c r="K1" s="140"/>
      <c r="L1" s="140"/>
      <c r="M1" s="140"/>
      <c r="N1" s="138"/>
      <c r="O1" s="138"/>
      <c r="P1" s="278"/>
      <c r="R1" s="943"/>
      <c r="S1" s="943"/>
      <c r="T1" s="943"/>
      <c r="U1" s="943"/>
      <c r="V1" s="943"/>
      <c r="W1" s="943"/>
      <c r="X1" s="943"/>
      <c r="Y1" s="943"/>
      <c r="Z1" s="943"/>
      <c r="AA1" s="943"/>
      <c r="AB1" s="943"/>
      <c r="AC1" s="943"/>
      <c r="AD1" s="943"/>
      <c r="AE1" s="943"/>
    </row>
    <row r="2" spans="1:31" s="261" customFormat="1" ht="18" customHeight="1" x14ac:dyDescent="0.25">
      <c r="A2" s="256"/>
      <c r="B2" s="145"/>
      <c r="C2" s="147"/>
      <c r="D2" s="147"/>
      <c r="E2" s="473"/>
      <c r="F2" s="473"/>
      <c r="G2" s="147"/>
      <c r="H2" s="147"/>
      <c r="I2" s="147"/>
      <c r="J2" s="147"/>
      <c r="K2" s="473"/>
      <c r="L2" s="473"/>
      <c r="M2" s="473"/>
      <c r="N2" s="147"/>
      <c r="O2" s="371"/>
      <c r="P2" s="278"/>
      <c r="R2" s="1094"/>
      <c r="AE2" s="1094"/>
    </row>
    <row r="3" spans="1:31" s="143" customFormat="1" ht="19.8" x14ac:dyDescent="0.25">
      <c r="A3" s="138"/>
      <c r="B3" s="160"/>
      <c r="C3" s="264"/>
      <c r="D3" s="372" t="s">
        <v>2279</v>
      </c>
      <c r="E3" s="444"/>
      <c r="F3" s="444"/>
      <c r="G3" s="264"/>
      <c r="H3" s="264"/>
      <c r="I3" s="264"/>
      <c r="J3" s="264"/>
      <c r="K3" s="444"/>
      <c r="L3" s="444"/>
      <c r="M3" s="444"/>
      <c r="N3" s="264"/>
      <c r="O3" s="277"/>
      <c r="P3" s="278"/>
      <c r="R3" s="943"/>
      <c r="S3" s="595" t="s">
        <v>1810</v>
      </c>
      <c r="T3" s="250"/>
      <c r="U3" s="250"/>
      <c r="V3" s="250"/>
      <c r="W3" s="250"/>
      <c r="X3" s="250"/>
      <c r="Y3" s="250"/>
      <c r="Z3" s="250"/>
      <c r="AA3" s="250"/>
      <c r="AB3" s="250"/>
      <c r="AC3" s="250"/>
      <c r="AD3" s="250"/>
      <c r="AE3" s="943"/>
    </row>
    <row r="4" spans="1:31" s="143" customFormat="1" ht="13.95" customHeight="1" x14ac:dyDescent="0.25">
      <c r="A4" s="138"/>
      <c r="B4" s="160"/>
      <c r="C4" s="264"/>
      <c r="D4" s="264"/>
      <c r="E4" s="477"/>
      <c r="F4" s="477"/>
      <c r="G4" s="264"/>
      <c r="H4" s="264"/>
      <c r="I4" s="264"/>
      <c r="J4" s="264"/>
      <c r="K4" s="444"/>
      <c r="L4" s="444"/>
      <c r="M4" s="444"/>
      <c r="N4" s="264"/>
      <c r="O4" s="277"/>
      <c r="P4" s="278"/>
      <c r="R4" s="943"/>
      <c r="S4" s="250"/>
      <c r="T4" s="250"/>
      <c r="U4" s="250"/>
      <c r="V4" s="250"/>
      <c r="W4" s="250"/>
      <c r="X4" s="250"/>
      <c r="Y4" s="250"/>
      <c r="Z4" s="250"/>
      <c r="AA4" s="250"/>
      <c r="AB4" s="250"/>
      <c r="AC4" s="250"/>
      <c r="AD4" s="250"/>
      <c r="AE4" s="943"/>
    </row>
    <row r="5" spans="1:31" s="377" customFormat="1" ht="13.95" customHeight="1" x14ac:dyDescent="0.25">
      <c r="A5" s="138"/>
      <c r="B5" s="373"/>
      <c r="C5" s="374"/>
      <c r="D5" s="476" t="s">
        <v>1814</v>
      </c>
      <c r="E5" s="475"/>
      <c r="F5" s="475"/>
      <c r="G5" s="475"/>
      <c r="H5" s="471"/>
      <c r="I5" s="375"/>
      <c r="J5" s="476" t="s">
        <v>1815</v>
      </c>
      <c r="K5" s="475"/>
      <c r="L5" s="475"/>
      <c r="M5" s="475"/>
      <c r="N5" s="475"/>
      <c r="O5" s="376"/>
      <c r="P5" s="319"/>
      <c r="R5" s="1095"/>
      <c r="S5" s="597" t="s">
        <v>1817</v>
      </c>
      <c r="T5" s="250"/>
      <c r="U5" s="250"/>
      <c r="V5" s="250"/>
      <c r="W5" s="250"/>
      <c r="X5" s="250"/>
      <c r="Y5" s="250"/>
      <c r="Z5" s="250"/>
      <c r="AA5" s="250"/>
      <c r="AB5" s="250"/>
      <c r="AC5" s="250"/>
      <c r="AD5" s="250"/>
      <c r="AE5" s="1095"/>
    </row>
    <row r="6" spans="1:31" s="143" customFormat="1" ht="22.95" customHeight="1" x14ac:dyDescent="0.25">
      <c r="A6" s="138"/>
      <c r="B6" s="160"/>
      <c r="C6" s="264"/>
      <c r="D6" s="1304" t="s">
        <v>1813</v>
      </c>
      <c r="E6" s="1304"/>
      <c r="F6" s="1304"/>
      <c r="G6" s="1304"/>
      <c r="H6" s="375"/>
      <c r="I6" s="375"/>
      <c r="J6" s="1304" t="s">
        <v>1816</v>
      </c>
      <c r="K6" s="1304"/>
      <c r="L6" s="1304"/>
      <c r="M6" s="1304"/>
      <c r="N6" s="1304"/>
      <c r="O6" s="277"/>
      <c r="P6" s="278"/>
      <c r="R6" s="943"/>
      <c r="S6" s="597" t="s">
        <v>3102</v>
      </c>
      <c r="T6" s="250"/>
      <c r="U6" s="250"/>
      <c r="V6" s="250"/>
      <c r="W6" s="250"/>
      <c r="X6" s="250"/>
      <c r="Y6" s="250"/>
      <c r="Z6" s="250"/>
      <c r="AA6" s="250"/>
      <c r="AB6" s="250"/>
      <c r="AC6" s="250"/>
      <c r="AD6" s="250"/>
      <c r="AE6" s="943"/>
    </row>
    <row r="7" spans="1:31" s="143" customFormat="1" ht="13.95" customHeight="1" thickBot="1" x14ac:dyDescent="0.3">
      <c r="A7" s="138"/>
      <c r="B7" s="160"/>
      <c r="C7" s="264"/>
      <c r="D7" s="264"/>
      <c r="E7" s="444"/>
      <c r="F7" s="444"/>
      <c r="G7" s="264"/>
      <c r="H7" s="264"/>
      <c r="I7" s="264"/>
      <c r="J7" s="264"/>
      <c r="K7" s="444"/>
      <c r="L7" s="444"/>
      <c r="M7" s="444"/>
      <c r="N7" s="264"/>
      <c r="O7" s="277"/>
      <c r="P7" s="319"/>
      <c r="R7" s="943"/>
      <c r="S7" s="597" t="s">
        <v>3106</v>
      </c>
      <c r="T7" s="250"/>
      <c r="U7" s="250"/>
      <c r="V7" s="250"/>
      <c r="W7" s="250"/>
      <c r="X7" s="250"/>
      <c r="Y7" s="250"/>
      <c r="Z7" s="250"/>
      <c r="AA7" s="250"/>
      <c r="AB7" s="250"/>
      <c r="AC7" s="250"/>
      <c r="AD7" s="250"/>
      <c r="AE7" s="943"/>
    </row>
    <row r="8" spans="1:31" ht="13.95" customHeight="1" thickBot="1" x14ac:dyDescent="0.3">
      <c r="A8" s="169"/>
      <c r="B8" s="273"/>
      <c r="C8" s="378"/>
      <c r="D8" s="1300" t="s">
        <v>1812</v>
      </c>
      <c r="E8" s="1301"/>
      <c r="F8" s="729"/>
      <c r="G8" s="378"/>
      <c r="H8" s="471" t="s">
        <v>1708</v>
      </c>
      <c r="I8" s="378"/>
      <c r="J8" s="1300" t="s">
        <v>1811</v>
      </c>
      <c r="K8" s="1301"/>
      <c r="L8" s="729"/>
      <c r="M8" s="729"/>
      <c r="N8" s="378"/>
      <c r="O8" s="277"/>
      <c r="P8" s="278"/>
      <c r="R8" s="977"/>
      <c r="S8" s="597"/>
      <c r="AE8" s="977"/>
    </row>
    <row r="9" spans="1:31" ht="13.95" customHeight="1" x14ac:dyDescent="0.25">
      <c r="A9" s="169"/>
      <c r="B9" s="273"/>
      <c r="C9" s="378"/>
      <c r="N9" s="378"/>
      <c r="O9" s="277"/>
      <c r="P9" s="278"/>
      <c r="R9" s="977"/>
      <c r="S9" s="597" t="s">
        <v>3039</v>
      </c>
      <c r="T9" s="596"/>
      <c r="U9" s="596"/>
      <c r="V9" s="596"/>
      <c r="W9" s="596"/>
      <c r="X9" s="596"/>
      <c r="Y9" s="596"/>
      <c r="Z9" s="596"/>
      <c r="AA9" s="596"/>
      <c r="AB9" s="596"/>
      <c r="AC9" s="596"/>
      <c r="AD9" s="596"/>
      <c r="AE9" s="977"/>
    </row>
    <row r="10" spans="1:31" ht="13.95" customHeight="1" x14ac:dyDescent="0.25">
      <c r="A10" s="169"/>
      <c r="B10" s="361"/>
      <c r="C10" s="379"/>
      <c r="D10" s="143" t="s">
        <v>3037</v>
      </c>
      <c r="E10" s="307" t="s">
        <v>3035</v>
      </c>
      <c r="F10" s="730" t="s">
        <v>3036</v>
      </c>
      <c r="G10" s="606"/>
      <c r="H10" s="606"/>
      <c r="I10" s="606"/>
      <c r="J10" s="380" t="s">
        <v>31</v>
      </c>
      <c r="K10" s="385" t="s">
        <v>667</v>
      </c>
      <c r="L10" s="385" t="s">
        <v>3057</v>
      </c>
      <c r="M10" s="731" t="s">
        <v>3058</v>
      </c>
      <c r="N10" s="379"/>
      <c r="O10" s="277"/>
      <c r="P10" s="278"/>
      <c r="R10" s="977"/>
      <c r="S10" s="599" t="s">
        <v>3059</v>
      </c>
      <c r="T10" s="604"/>
      <c r="U10" s="604"/>
      <c r="V10" s="604"/>
      <c r="W10" s="604"/>
      <c r="X10" s="604"/>
      <c r="Y10" s="604"/>
      <c r="Z10" s="604"/>
      <c r="AA10" s="604"/>
      <c r="AB10" s="604"/>
      <c r="AC10" s="604"/>
      <c r="AD10" s="604"/>
      <c r="AE10" s="977"/>
    </row>
    <row r="11" spans="1:31" ht="13.95" customHeight="1" x14ac:dyDescent="0.25">
      <c r="A11" s="169"/>
      <c r="B11" s="361"/>
      <c r="C11" s="379"/>
      <c r="D11" s="1082" t="s">
        <v>701</v>
      </c>
      <c r="E11" s="1083">
        <v>0</v>
      </c>
      <c r="F11" s="1084"/>
      <c r="G11" s="606"/>
      <c r="H11" s="606"/>
      <c r="I11" s="606"/>
      <c r="J11" s="927" t="s">
        <v>701</v>
      </c>
      <c r="K11" s="1091">
        <f>Table22[[#This Row],[Answer V1]]</f>
        <v>0</v>
      </c>
      <c r="L11" s="1108"/>
      <c r="M11" s="1106"/>
      <c r="N11" s="379"/>
      <c r="O11" s="277"/>
      <c r="P11" s="278"/>
      <c r="R11" s="977"/>
      <c r="S11" s="599" t="s">
        <v>3103</v>
      </c>
      <c r="T11" s="604"/>
      <c r="U11" s="604"/>
      <c r="V11" s="604"/>
      <c r="W11" s="604"/>
      <c r="X11" s="604"/>
      <c r="Y11" s="604"/>
      <c r="Z11" s="604"/>
      <c r="AA11" s="604"/>
      <c r="AB11" s="604"/>
      <c r="AC11" s="604"/>
      <c r="AD11" s="604"/>
      <c r="AE11" s="977"/>
    </row>
    <row r="12" spans="1:31" ht="13.95" customHeight="1" x14ac:dyDescent="0.25">
      <c r="A12" s="169"/>
      <c r="B12" s="273"/>
      <c r="C12" s="378"/>
      <c r="D12" s="1082" t="s">
        <v>698</v>
      </c>
      <c r="E12" s="1083" t="s">
        <v>3038</v>
      </c>
      <c r="F12" s="1085"/>
      <c r="G12" s="607"/>
      <c r="H12" s="607"/>
      <c r="I12" s="607"/>
      <c r="J12" s="927" t="s">
        <v>698</v>
      </c>
      <c r="K12" s="1091" t="str">
        <f>Table22[[#This Row],[Answer V1]]</f>
        <v>Yritys</v>
      </c>
      <c r="L12" s="1108"/>
      <c r="M12" s="1101"/>
      <c r="N12" s="378"/>
      <c r="O12" s="277"/>
      <c r="P12" s="278"/>
      <c r="R12" s="977"/>
      <c r="S12" s="599"/>
      <c r="T12" s="604"/>
      <c r="U12" s="604"/>
      <c r="V12" s="604"/>
      <c r="W12" s="604"/>
      <c r="X12" s="604"/>
      <c r="Y12" s="604"/>
      <c r="Z12" s="604"/>
      <c r="AA12" s="604"/>
      <c r="AB12" s="604"/>
      <c r="AC12" s="604"/>
      <c r="AD12" s="604"/>
      <c r="AE12" s="977"/>
    </row>
    <row r="13" spans="1:31" ht="13.95" customHeight="1" x14ac:dyDescent="0.25">
      <c r="A13" s="169"/>
      <c r="B13" s="273"/>
      <c r="C13" s="378"/>
      <c r="D13" s="1082" t="s">
        <v>699</v>
      </c>
      <c r="E13" s="1083" t="s">
        <v>541</v>
      </c>
      <c r="F13" s="1085"/>
      <c r="G13" s="607"/>
      <c r="H13" s="607"/>
      <c r="I13" s="607"/>
      <c r="J13" s="927" t="s">
        <v>3034</v>
      </c>
      <c r="K13" s="1102" t="s">
        <v>689</v>
      </c>
      <c r="L13" s="1108"/>
      <c r="M13" s="1107"/>
      <c r="N13" s="378"/>
      <c r="O13" s="277"/>
      <c r="P13" s="278"/>
      <c r="R13" s="977"/>
      <c r="S13" s="599" t="s">
        <v>1818</v>
      </c>
      <c r="T13" s="604"/>
      <c r="U13" s="604"/>
      <c r="V13" s="604"/>
      <c r="W13" s="604"/>
      <c r="X13" s="604"/>
      <c r="Y13" s="604"/>
      <c r="Z13" s="604"/>
      <c r="AA13" s="604"/>
      <c r="AB13" s="604"/>
      <c r="AC13" s="604"/>
      <c r="AD13" s="604"/>
      <c r="AE13" s="977"/>
    </row>
    <row r="14" spans="1:31" s="596" customFormat="1" ht="13.95" customHeight="1" x14ac:dyDescent="0.25">
      <c r="A14" s="169"/>
      <c r="B14" s="273"/>
      <c r="C14" s="378"/>
      <c r="D14" s="1082" t="s">
        <v>700</v>
      </c>
      <c r="E14" s="1083" t="s">
        <v>691</v>
      </c>
      <c r="F14" s="1085"/>
      <c r="G14" s="606"/>
      <c r="H14" s="606"/>
      <c r="I14" s="606"/>
      <c r="J14" s="927" t="s">
        <v>699</v>
      </c>
      <c r="K14" s="1091" t="str">
        <f>E13</f>
        <v>Toimiala</v>
      </c>
      <c r="L14" s="1108"/>
      <c r="M14" s="1101"/>
      <c r="N14" s="378"/>
      <c r="O14" s="277"/>
      <c r="P14" s="278"/>
      <c r="R14" s="1096"/>
      <c r="S14" s="599" t="s">
        <v>3105</v>
      </c>
      <c r="T14" s="604"/>
      <c r="U14" s="604"/>
      <c r="V14" s="604"/>
      <c r="W14" s="604"/>
      <c r="X14" s="604"/>
      <c r="Y14" s="604"/>
      <c r="Z14" s="604"/>
      <c r="AA14" s="604"/>
      <c r="AB14" s="604"/>
      <c r="AC14" s="604"/>
      <c r="AD14" s="604"/>
      <c r="AE14" s="1096"/>
    </row>
    <row r="15" spans="1:31" s="604" customFormat="1" ht="13.95" customHeight="1" x14ac:dyDescent="0.25">
      <c r="A15" s="600"/>
      <c r="B15" s="601"/>
      <c r="C15" s="602"/>
      <c r="D15" s="1086" t="s">
        <v>0</v>
      </c>
      <c r="E15" s="1087"/>
      <c r="F15" s="1088"/>
      <c r="G15" s="605"/>
      <c r="H15" s="605"/>
      <c r="I15" s="605"/>
      <c r="J15" s="927" t="s">
        <v>700</v>
      </c>
      <c r="K15" s="1091" t="str">
        <f>E14</f>
        <v>Toiminto</v>
      </c>
      <c r="L15" s="1108"/>
      <c r="M15" s="1101"/>
      <c r="N15" s="602"/>
      <c r="O15" s="598"/>
      <c r="P15" s="603"/>
      <c r="R15" s="1097"/>
      <c r="S15" s="599" t="s">
        <v>3104</v>
      </c>
      <c r="AE15" s="1097"/>
    </row>
    <row r="16" spans="1:31" s="604" customFormat="1" ht="13.95" customHeight="1" x14ac:dyDescent="0.25">
      <c r="A16" s="600"/>
      <c r="B16" s="601"/>
      <c r="C16" s="602"/>
      <c r="D16" s="1086" t="s">
        <v>40</v>
      </c>
      <c r="E16" s="1087"/>
      <c r="F16" s="1088"/>
      <c r="G16" s="605"/>
      <c r="H16" s="605"/>
      <c r="I16" s="605"/>
      <c r="J16" s="927" t="s">
        <v>2275</v>
      </c>
      <c r="K16" s="1102"/>
      <c r="L16" s="1108"/>
      <c r="M16" s="1107"/>
      <c r="N16" s="602"/>
      <c r="O16" s="598"/>
      <c r="P16" s="603"/>
      <c r="R16" s="1097"/>
      <c r="S16" s="599"/>
      <c r="AE16" s="1097"/>
    </row>
    <row r="17" spans="1:31" s="604" customFormat="1" ht="13.95" customHeight="1" x14ac:dyDescent="0.25">
      <c r="A17" s="600"/>
      <c r="B17" s="601"/>
      <c r="C17" s="602"/>
      <c r="D17" s="1086" t="s">
        <v>44</v>
      </c>
      <c r="E17" s="1087"/>
      <c r="F17" s="1088"/>
      <c r="G17" s="605"/>
      <c r="H17" s="605"/>
      <c r="I17" s="605"/>
      <c r="J17" s="927" t="s">
        <v>2276</v>
      </c>
      <c r="K17" s="1102"/>
      <c r="L17" s="1108"/>
      <c r="M17" s="1107"/>
      <c r="N17" s="602"/>
      <c r="O17" s="598"/>
      <c r="P17" s="603"/>
      <c r="R17" s="1097"/>
      <c r="S17" s="599" t="s">
        <v>3040</v>
      </c>
      <c r="AE17" s="1097"/>
    </row>
    <row r="18" spans="1:31" s="604" customFormat="1" ht="13.95" customHeight="1" x14ac:dyDescent="0.25">
      <c r="A18" s="600"/>
      <c r="B18" s="601"/>
      <c r="C18" s="602"/>
      <c r="D18" s="1086" t="s">
        <v>46</v>
      </c>
      <c r="E18" s="1087"/>
      <c r="F18" s="1088"/>
      <c r="G18" s="605"/>
      <c r="H18" s="605"/>
      <c r="I18" s="605"/>
      <c r="J18" s="1092" t="s">
        <v>2270</v>
      </c>
      <c r="K18" s="1093"/>
      <c r="L18" s="1108"/>
      <c r="M18" s="1107"/>
      <c r="N18" s="602"/>
      <c r="O18" s="598"/>
      <c r="P18" s="603"/>
      <c r="R18" s="1097"/>
      <c r="S18" s="944" t="s">
        <v>3041</v>
      </c>
      <c r="AE18" s="1097"/>
    </row>
    <row r="19" spans="1:31" s="604" customFormat="1" ht="13.95" customHeight="1" x14ac:dyDescent="0.25">
      <c r="A19" s="600"/>
      <c r="B19" s="601"/>
      <c r="C19" s="602"/>
      <c r="D19" s="1086" t="s">
        <v>48</v>
      </c>
      <c r="E19" s="1087"/>
      <c r="F19" s="1088"/>
      <c r="G19" s="605"/>
      <c r="H19" s="605"/>
      <c r="I19" s="605"/>
      <c r="J19" s="1092" t="s">
        <v>2271</v>
      </c>
      <c r="K19" s="1093"/>
      <c r="L19" s="1108"/>
      <c r="M19" s="1107"/>
      <c r="N19" s="602"/>
      <c r="O19" s="598"/>
      <c r="P19" s="603"/>
      <c r="R19" s="1097"/>
      <c r="AE19" s="1097"/>
    </row>
    <row r="20" spans="1:31" s="604" customFormat="1" ht="13.95" customHeight="1" x14ac:dyDescent="0.25">
      <c r="A20" s="600"/>
      <c r="B20" s="601"/>
      <c r="C20" s="602"/>
      <c r="D20" s="1086" t="s">
        <v>50</v>
      </c>
      <c r="E20" s="1087"/>
      <c r="F20" s="1088"/>
      <c r="G20" s="605"/>
      <c r="H20" s="605"/>
      <c r="I20" s="605"/>
      <c r="J20" s="1092" t="s">
        <v>2274</v>
      </c>
      <c r="K20" s="1093"/>
      <c r="L20" s="1108"/>
      <c r="M20" s="1107"/>
      <c r="N20" s="602"/>
      <c r="O20" s="598"/>
      <c r="P20" s="603"/>
      <c r="R20" s="1097"/>
      <c r="S20" s="1097"/>
      <c r="T20" s="1097"/>
      <c r="U20" s="1097"/>
      <c r="V20" s="1097"/>
      <c r="W20" s="1097"/>
      <c r="X20" s="1097"/>
      <c r="Y20" s="1097"/>
      <c r="Z20" s="1097"/>
      <c r="AA20" s="1097"/>
      <c r="AB20" s="1097"/>
      <c r="AC20" s="1097"/>
      <c r="AD20" s="1097"/>
      <c r="AE20" s="1097"/>
    </row>
    <row r="21" spans="1:31" s="604" customFormat="1" ht="13.95" customHeight="1" x14ac:dyDescent="0.25">
      <c r="A21" s="600"/>
      <c r="B21" s="601"/>
      <c r="C21" s="602"/>
      <c r="D21" s="1086" t="s">
        <v>52</v>
      </c>
      <c r="E21" s="1089"/>
      <c r="F21" s="1088"/>
      <c r="G21" s="605"/>
      <c r="H21" s="605"/>
      <c r="I21" s="605"/>
      <c r="J21" s="1092" t="s">
        <v>2273</v>
      </c>
      <c r="K21" s="1093"/>
      <c r="L21" s="1108"/>
      <c r="M21" s="1107"/>
      <c r="N21" s="602"/>
      <c r="O21" s="598"/>
      <c r="P21" s="603"/>
    </row>
    <row r="22" spans="1:31" s="604" customFormat="1" ht="13.95" customHeight="1" x14ac:dyDescent="0.25">
      <c r="A22" s="600"/>
      <c r="B22" s="601"/>
      <c r="C22" s="602"/>
      <c r="D22" s="1086" t="s">
        <v>54</v>
      </c>
      <c r="E22" s="1090"/>
      <c r="F22" s="1089"/>
      <c r="G22" s="143"/>
      <c r="H22" s="143"/>
      <c r="I22" s="143"/>
      <c r="J22" s="1092" t="s">
        <v>2272</v>
      </c>
      <c r="K22" s="1093"/>
      <c r="L22" s="1108"/>
      <c r="M22" s="1107"/>
      <c r="N22" s="602"/>
      <c r="O22" s="598"/>
      <c r="P22" s="603"/>
    </row>
    <row r="23" spans="1:31" s="604" customFormat="1" ht="13.95" customHeight="1" x14ac:dyDescent="0.25">
      <c r="A23" s="600"/>
      <c r="B23" s="601"/>
      <c r="C23" s="602"/>
      <c r="D23" s="1086" t="s">
        <v>56</v>
      </c>
      <c r="E23" s="1090"/>
      <c r="F23" s="1089"/>
      <c r="G23" s="143"/>
      <c r="H23" s="143"/>
      <c r="I23" s="143"/>
      <c r="J23" s="1092" t="s">
        <v>61</v>
      </c>
      <c r="K23" s="942"/>
      <c r="L23" s="1108"/>
      <c r="M23" s="1101"/>
      <c r="N23" s="187"/>
      <c r="O23" s="598"/>
      <c r="P23" s="603"/>
    </row>
    <row r="24" spans="1:31" s="604" customFormat="1" ht="13.95" customHeight="1" x14ac:dyDescent="0.25">
      <c r="A24" s="600"/>
      <c r="B24" s="601"/>
      <c r="C24" s="602"/>
      <c r="D24" s="1086" t="s">
        <v>59</v>
      </c>
      <c r="E24" s="1090"/>
      <c r="F24" s="1089"/>
      <c r="G24" s="143"/>
      <c r="H24" s="143"/>
      <c r="I24" s="143"/>
      <c r="J24" s="1092" t="s">
        <v>63</v>
      </c>
      <c r="K24" s="942"/>
      <c r="L24" s="1108"/>
      <c r="M24" s="1101"/>
      <c r="N24" s="187"/>
      <c r="O24" s="598"/>
      <c r="P24" s="603"/>
    </row>
    <row r="25" spans="1:31" s="604" customFormat="1" ht="13.95" customHeight="1" x14ac:dyDescent="0.25">
      <c r="A25" s="600"/>
      <c r="B25" s="601"/>
      <c r="C25" s="602"/>
      <c r="D25" s="1086" t="s">
        <v>61</v>
      </c>
      <c r="E25" s="1090"/>
      <c r="F25" s="1089"/>
      <c r="G25" s="143"/>
      <c r="H25" s="143"/>
      <c r="I25" s="143"/>
      <c r="J25" s="1092" t="s">
        <v>65</v>
      </c>
      <c r="K25" s="942"/>
      <c r="L25" s="1108"/>
      <c r="M25" s="1101"/>
      <c r="N25" s="187"/>
      <c r="O25" s="598"/>
      <c r="P25" s="603"/>
    </row>
    <row r="26" spans="1:31" s="604" customFormat="1" ht="13.95" customHeight="1" x14ac:dyDescent="0.25">
      <c r="A26" s="600"/>
      <c r="B26" s="601"/>
      <c r="C26" s="602"/>
      <c r="D26" s="1086" t="s">
        <v>63</v>
      </c>
      <c r="E26" s="1090"/>
      <c r="F26" s="1089"/>
      <c r="G26" s="143"/>
      <c r="H26" s="143"/>
      <c r="I26" s="143"/>
      <c r="J26" s="1092" t="s">
        <v>68</v>
      </c>
      <c r="K26" s="942"/>
      <c r="L26" s="1108"/>
      <c r="M26" s="1101"/>
      <c r="N26" s="187"/>
      <c r="O26" s="598"/>
      <c r="P26" s="603"/>
    </row>
    <row r="27" spans="1:31" s="604" customFormat="1" ht="13.95" customHeight="1" x14ac:dyDescent="0.25">
      <c r="A27" s="600"/>
      <c r="B27" s="601"/>
      <c r="C27" s="602"/>
      <c r="D27" s="1086" t="s">
        <v>65</v>
      </c>
      <c r="E27" s="1090"/>
      <c r="F27" s="1089"/>
      <c r="G27" s="143"/>
      <c r="H27" s="143"/>
      <c r="I27" s="143"/>
      <c r="J27" s="1092" t="s">
        <v>1103</v>
      </c>
      <c r="K27" s="942"/>
      <c r="L27" s="1108"/>
      <c r="M27" s="1101"/>
      <c r="N27" s="187"/>
      <c r="O27" s="598"/>
      <c r="P27" s="603"/>
    </row>
    <row r="28" spans="1:31" s="604" customFormat="1" ht="13.95" customHeight="1" x14ac:dyDescent="0.25">
      <c r="A28" s="600"/>
      <c r="B28" s="601"/>
      <c r="C28" s="602"/>
      <c r="D28" s="1086" t="s">
        <v>68</v>
      </c>
      <c r="E28" s="1090"/>
      <c r="F28" s="1089"/>
      <c r="G28" s="143"/>
      <c r="H28" s="143"/>
      <c r="I28" s="143"/>
      <c r="J28" s="1092" t="s">
        <v>80</v>
      </c>
      <c r="K28" s="942"/>
      <c r="L28" s="1108"/>
      <c r="M28" s="1101"/>
      <c r="N28" s="187"/>
      <c r="O28" s="598"/>
      <c r="P28" s="603"/>
    </row>
    <row r="29" spans="1:31" s="604" customFormat="1" ht="13.95" customHeight="1" x14ac:dyDescent="0.25">
      <c r="A29" s="600"/>
      <c r="B29" s="601"/>
      <c r="C29" s="602"/>
      <c r="D29" s="1086" t="s">
        <v>66</v>
      </c>
      <c r="E29" s="1090"/>
      <c r="F29" s="1089"/>
      <c r="G29" s="143"/>
      <c r="H29" s="143"/>
      <c r="I29" s="143"/>
      <c r="J29" s="1092" t="s">
        <v>121</v>
      </c>
      <c r="K29" s="942"/>
      <c r="L29" s="1108"/>
      <c r="M29" s="1101"/>
      <c r="N29" s="187"/>
      <c r="O29" s="598"/>
      <c r="P29" s="603"/>
    </row>
    <row r="30" spans="1:31" s="604" customFormat="1" ht="13.95" customHeight="1" x14ac:dyDescent="0.25">
      <c r="A30" s="600"/>
      <c r="B30" s="601"/>
      <c r="C30" s="602"/>
      <c r="D30" s="1086" t="s">
        <v>73</v>
      </c>
      <c r="E30" s="1090"/>
      <c r="F30" s="1089"/>
      <c r="G30" s="143"/>
      <c r="H30" s="143"/>
      <c r="I30" s="143"/>
      <c r="J30" s="1092" t="s">
        <v>124</v>
      </c>
      <c r="K30" s="942"/>
      <c r="L30" s="1108"/>
      <c r="M30" s="1101"/>
      <c r="N30" s="187"/>
      <c r="O30" s="598"/>
      <c r="P30" s="603"/>
    </row>
    <row r="31" spans="1:31" s="604" customFormat="1" ht="13.95" customHeight="1" x14ac:dyDescent="0.25">
      <c r="A31" s="600"/>
      <c r="B31" s="601"/>
      <c r="C31" s="602"/>
      <c r="D31" s="1086" t="s">
        <v>76</v>
      </c>
      <c r="E31" s="1090"/>
      <c r="F31" s="1089"/>
      <c r="G31" s="143"/>
      <c r="H31" s="143"/>
      <c r="I31" s="143"/>
      <c r="J31" s="1092" t="s">
        <v>127</v>
      </c>
      <c r="K31" s="1093"/>
      <c r="L31" s="1108"/>
      <c r="M31" s="1101"/>
      <c r="N31" s="187"/>
      <c r="O31" s="598"/>
      <c r="P31" s="603"/>
    </row>
    <row r="32" spans="1:31" s="604" customFormat="1" ht="13.95" customHeight="1" x14ac:dyDescent="0.25">
      <c r="A32" s="600"/>
      <c r="B32" s="601"/>
      <c r="C32" s="602"/>
      <c r="D32" s="1086" t="s">
        <v>79</v>
      </c>
      <c r="E32" s="1090"/>
      <c r="F32" s="1089"/>
      <c r="G32" s="143"/>
      <c r="H32" s="143"/>
      <c r="I32" s="143"/>
      <c r="J32" s="1092" t="s">
        <v>130</v>
      </c>
      <c r="K32" s="1093"/>
      <c r="L32" s="1108"/>
      <c r="M32" s="1101"/>
      <c r="N32" s="187"/>
      <c r="O32" s="598"/>
      <c r="P32" s="603"/>
    </row>
    <row r="33" spans="1:16" s="604" customFormat="1" ht="13.95" customHeight="1" x14ac:dyDescent="0.25">
      <c r="A33" s="600"/>
      <c r="B33" s="601"/>
      <c r="C33" s="602"/>
      <c r="D33" s="1086" t="s">
        <v>69</v>
      </c>
      <c r="E33" s="1090"/>
      <c r="F33" s="1089"/>
      <c r="G33" s="143"/>
      <c r="H33" s="143"/>
      <c r="I33" s="143"/>
      <c r="J33" s="1092" t="s">
        <v>133</v>
      </c>
      <c r="K33" s="1093"/>
      <c r="L33" s="1108"/>
      <c r="M33" s="1101"/>
      <c r="N33" s="187"/>
      <c r="O33" s="598"/>
      <c r="P33" s="603"/>
    </row>
    <row r="34" spans="1:16" s="604" customFormat="1" ht="13.95" customHeight="1" x14ac:dyDescent="0.25">
      <c r="A34" s="600"/>
      <c r="B34" s="601"/>
      <c r="C34" s="602"/>
      <c r="D34" s="1086" t="s">
        <v>84</v>
      </c>
      <c r="E34" s="1090"/>
      <c r="F34" s="1089"/>
      <c r="G34" s="143"/>
      <c r="H34" s="143"/>
      <c r="I34" s="143"/>
      <c r="J34" s="1092" t="s">
        <v>1114</v>
      </c>
      <c r="K34" s="1093"/>
      <c r="L34" s="1108"/>
      <c r="M34" s="1101"/>
      <c r="N34" s="187"/>
      <c r="O34" s="598"/>
      <c r="P34" s="603"/>
    </row>
    <row r="35" spans="1:16" s="604" customFormat="1" ht="13.95" customHeight="1" x14ac:dyDescent="0.25">
      <c r="A35" s="600"/>
      <c r="B35" s="601"/>
      <c r="C35" s="602"/>
      <c r="D35" s="1086" t="s">
        <v>86</v>
      </c>
      <c r="E35" s="1090"/>
      <c r="F35" s="1089"/>
      <c r="G35" s="143"/>
      <c r="H35" s="143"/>
      <c r="I35" s="143"/>
      <c r="J35" s="1092" t="s">
        <v>48</v>
      </c>
      <c r="K35" s="1093"/>
      <c r="L35" s="1108"/>
      <c r="M35" s="1101"/>
      <c r="N35" s="187"/>
      <c r="O35" s="598"/>
      <c r="P35" s="603"/>
    </row>
    <row r="36" spans="1:16" s="604" customFormat="1" ht="13.95" customHeight="1" x14ac:dyDescent="0.25">
      <c r="A36" s="600"/>
      <c r="B36" s="601"/>
      <c r="C36" s="602"/>
      <c r="D36" s="1086" t="s">
        <v>88</v>
      </c>
      <c r="E36" s="1090"/>
      <c r="F36" s="1089"/>
      <c r="G36" s="143"/>
      <c r="H36" s="143"/>
      <c r="I36" s="143"/>
      <c r="J36" s="1092" t="s">
        <v>50</v>
      </c>
      <c r="K36" s="1093"/>
      <c r="L36" s="1108"/>
      <c r="M36" s="1101"/>
      <c r="N36" s="187"/>
      <c r="O36" s="598"/>
      <c r="P36" s="603"/>
    </row>
    <row r="37" spans="1:16" s="604" customFormat="1" ht="13.95" customHeight="1" x14ac:dyDescent="0.25">
      <c r="A37" s="600"/>
      <c r="B37" s="601"/>
      <c r="C37" s="602"/>
      <c r="D37" s="1086" t="s">
        <v>90</v>
      </c>
      <c r="E37" s="1090"/>
      <c r="F37" s="1089"/>
      <c r="G37" s="143"/>
      <c r="H37" s="143"/>
      <c r="I37" s="143"/>
      <c r="J37" s="1092" t="s">
        <v>52</v>
      </c>
      <c r="K37" s="1093"/>
      <c r="L37" s="1108"/>
      <c r="M37" s="1101"/>
      <c r="N37" s="187"/>
      <c r="O37" s="598"/>
      <c r="P37" s="603"/>
    </row>
    <row r="38" spans="1:16" s="604" customFormat="1" ht="13.95" customHeight="1" x14ac:dyDescent="0.25">
      <c r="A38" s="600"/>
      <c r="B38" s="601"/>
      <c r="C38" s="602"/>
      <c r="D38" s="1086" t="s">
        <v>71</v>
      </c>
      <c r="E38" s="1090"/>
      <c r="F38" s="1089"/>
      <c r="G38" s="143"/>
      <c r="H38" s="143"/>
      <c r="I38" s="143"/>
      <c r="J38" s="1092" t="s">
        <v>54</v>
      </c>
      <c r="K38" s="1093"/>
      <c r="L38" s="1108"/>
      <c r="M38" s="1101"/>
      <c r="N38" s="187"/>
      <c r="O38" s="598"/>
      <c r="P38" s="603"/>
    </row>
    <row r="39" spans="1:16" s="604" customFormat="1" ht="13.95" customHeight="1" x14ac:dyDescent="0.25">
      <c r="A39" s="600"/>
      <c r="B39" s="601"/>
      <c r="C39" s="602"/>
      <c r="D39" s="1086" t="s">
        <v>93</v>
      </c>
      <c r="E39" s="1090"/>
      <c r="F39" s="1089"/>
      <c r="G39" s="143"/>
      <c r="H39" s="143"/>
      <c r="I39" s="143"/>
      <c r="J39" s="1092" t="s">
        <v>56</v>
      </c>
      <c r="K39" s="1093"/>
      <c r="L39" s="1108"/>
      <c r="M39" s="1101"/>
      <c r="N39" s="187"/>
      <c r="O39" s="598"/>
      <c r="P39" s="603"/>
    </row>
    <row r="40" spans="1:16" s="604" customFormat="1" ht="13.95" customHeight="1" x14ac:dyDescent="0.25">
      <c r="A40" s="600"/>
      <c r="B40" s="601"/>
      <c r="C40" s="602"/>
      <c r="D40" s="1086" t="s">
        <v>95</v>
      </c>
      <c r="E40" s="1090"/>
      <c r="F40" s="1089"/>
      <c r="G40" s="143"/>
      <c r="H40" s="143"/>
      <c r="I40" s="143"/>
      <c r="J40" s="1092" t="s">
        <v>59</v>
      </c>
      <c r="K40" s="1093"/>
      <c r="L40" s="1108"/>
      <c r="M40" s="1101"/>
      <c r="N40" s="187"/>
      <c r="O40" s="598"/>
      <c r="P40" s="603"/>
    </row>
    <row r="41" spans="1:16" s="604" customFormat="1" ht="13.95" customHeight="1" x14ac:dyDescent="0.25">
      <c r="A41" s="600"/>
      <c r="B41" s="601"/>
      <c r="C41" s="602"/>
      <c r="D41" s="1086" t="s">
        <v>97</v>
      </c>
      <c r="E41" s="1090"/>
      <c r="F41" s="1089"/>
      <c r="G41" s="143"/>
      <c r="H41" s="143"/>
      <c r="I41" s="143"/>
      <c r="J41" s="1092" t="s">
        <v>57</v>
      </c>
      <c r="K41" s="1093">
        <f>E64</f>
        <v>0</v>
      </c>
      <c r="L41" s="1108"/>
      <c r="M41" s="1101"/>
      <c r="N41" s="187"/>
      <c r="O41" s="598"/>
      <c r="P41" s="603"/>
    </row>
    <row r="42" spans="1:16" s="604" customFormat="1" ht="13.95" customHeight="1" x14ac:dyDescent="0.25">
      <c r="A42" s="600"/>
      <c r="B42" s="601"/>
      <c r="C42" s="602"/>
      <c r="D42" s="1086" t="s">
        <v>99</v>
      </c>
      <c r="E42" s="1090"/>
      <c r="F42" s="1089"/>
      <c r="G42" s="143"/>
      <c r="H42" s="143"/>
      <c r="I42" s="143"/>
      <c r="J42" s="1092" t="s">
        <v>154</v>
      </c>
      <c r="K42" s="1093">
        <f t="shared" ref="K42:K44" si="0">E65</f>
        <v>0</v>
      </c>
      <c r="L42" s="1108"/>
      <c r="M42" s="1101"/>
      <c r="N42" s="187"/>
      <c r="O42" s="598"/>
      <c r="P42" s="603"/>
    </row>
    <row r="43" spans="1:16" s="604" customFormat="1" ht="13.95" customHeight="1" x14ac:dyDescent="0.25">
      <c r="A43" s="600"/>
      <c r="B43" s="601"/>
      <c r="C43" s="602"/>
      <c r="D43" s="1086" t="s">
        <v>74</v>
      </c>
      <c r="E43" s="1090"/>
      <c r="F43" s="1089"/>
      <c r="G43" s="143"/>
      <c r="H43" s="143"/>
      <c r="I43" s="143"/>
      <c r="J43" s="1092" t="s">
        <v>157</v>
      </c>
      <c r="K43" s="1093">
        <f t="shared" si="0"/>
        <v>0</v>
      </c>
      <c r="L43" s="1108"/>
      <c r="M43" s="1101"/>
      <c r="N43" s="187"/>
      <c r="O43" s="598"/>
      <c r="P43" s="603"/>
    </row>
    <row r="44" spans="1:16" s="604" customFormat="1" ht="13.95" customHeight="1" x14ac:dyDescent="0.25">
      <c r="A44" s="600"/>
      <c r="B44" s="601"/>
      <c r="C44" s="602"/>
      <c r="D44" s="1086" t="s">
        <v>102</v>
      </c>
      <c r="E44" s="1090"/>
      <c r="F44" s="1089"/>
      <c r="G44" s="143"/>
      <c r="H44" s="143"/>
      <c r="I44" s="143"/>
      <c r="J44" s="1092" t="s">
        <v>159</v>
      </c>
      <c r="K44" s="1093">
        <f t="shared" si="0"/>
        <v>0</v>
      </c>
      <c r="L44" s="1108"/>
      <c r="M44" s="1101"/>
      <c r="N44" s="187"/>
      <c r="O44" s="598"/>
      <c r="P44" s="603"/>
    </row>
    <row r="45" spans="1:16" s="604" customFormat="1" ht="13.95" customHeight="1" x14ac:dyDescent="0.25">
      <c r="A45" s="600"/>
      <c r="B45" s="601"/>
      <c r="C45" s="602"/>
      <c r="D45" s="1086" t="s">
        <v>104</v>
      </c>
      <c r="E45" s="1090"/>
      <c r="F45" s="1089"/>
      <c r="G45" s="143"/>
      <c r="H45" s="143"/>
      <c r="I45" s="143"/>
      <c r="J45" s="1092" t="s">
        <v>82</v>
      </c>
      <c r="K45" s="1093"/>
      <c r="L45" s="1108"/>
      <c r="M45" s="1101"/>
      <c r="N45" s="187"/>
      <c r="O45" s="598"/>
      <c r="P45" s="603"/>
    </row>
    <row r="46" spans="1:16" s="604" customFormat="1" ht="13.95" customHeight="1" x14ac:dyDescent="0.25">
      <c r="A46" s="600"/>
      <c r="B46" s="601"/>
      <c r="C46" s="602"/>
      <c r="D46" s="1086" t="s">
        <v>106</v>
      </c>
      <c r="E46" s="1090"/>
      <c r="F46" s="1089"/>
      <c r="G46" s="143"/>
      <c r="H46" s="143"/>
      <c r="I46" s="143"/>
      <c r="J46" s="1092" t="s">
        <v>138</v>
      </c>
      <c r="K46" s="1093"/>
      <c r="L46" s="1108"/>
      <c r="M46" s="1101"/>
      <c r="N46" s="187"/>
      <c r="O46" s="598"/>
      <c r="P46" s="603"/>
    </row>
    <row r="47" spans="1:16" s="604" customFormat="1" ht="13.95" customHeight="1" x14ac:dyDescent="0.25">
      <c r="A47" s="600"/>
      <c r="B47" s="601"/>
      <c r="C47" s="602"/>
      <c r="D47" s="1086" t="s">
        <v>77</v>
      </c>
      <c r="E47" s="1090"/>
      <c r="F47" s="1089"/>
      <c r="G47" s="143"/>
      <c r="H47" s="143"/>
      <c r="I47" s="143"/>
      <c r="J47" s="1092" t="s">
        <v>141</v>
      </c>
      <c r="K47" s="1093"/>
      <c r="L47" s="1108"/>
      <c r="M47" s="1101"/>
      <c r="N47" s="187"/>
      <c r="O47" s="598"/>
      <c r="P47" s="603"/>
    </row>
    <row r="48" spans="1:16" s="604" customFormat="1" ht="13.95" customHeight="1" x14ac:dyDescent="0.25">
      <c r="A48" s="600"/>
      <c r="B48" s="601"/>
      <c r="C48" s="602"/>
      <c r="D48" s="1086" t="s">
        <v>110</v>
      </c>
      <c r="E48" s="1090"/>
      <c r="F48" s="1089"/>
      <c r="G48" s="143"/>
      <c r="H48" s="143"/>
      <c r="I48" s="143"/>
      <c r="J48" s="1092" t="s">
        <v>144</v>
      </c>
      <c r="K48" s="1093"/>
      <c r="L48" s="1108"/>
      <c r="M48" s="1101"/>
      <c r="N48" s="187"/>
      <c r="O48" s="598"/>
      <c r="P48" s="603"/>
    </row>
    <row r="49" spans="1:16" s="604" customFormat="1" ht="13.95" customHeight="1" x14ac:dyDescent="0.25">
      <c r="A49" s="600"/>
      <c r="B49" s="601"/>
      <c r="C49" s="602"/>
      <c r="D49" s="1086" t="s">
        <v>112</v>
      </c>
      <c r="E49" s="1090"/>
      <c r="F49" s="1089"/>
      <c r="G49" s="143"/>
      <c r="H49" s="143"/>
      <c r="I49" s="143"/>
      <c r="J49" s="1092" t="s">
        <v>71</v>
      </c>
      <c r="K49" s="1093"/>
      <c r="L49" s="1108"/>
      <c r="M49" s="1101"/>
      <c r="N49" s="187"/>
      <c r="O49" s="598"/>
      <c r="P49" s="603"/>
    </row>
    <row r="50" spans="1:16" s="604" customFormat="1" ht="13.95" customHeight="1" x14ac:dyDescent="0.25">
      <c r="A50" s="600"/>
      <c r="B50" s="601"/>
      <c r="C50" s="602"/>
      <c r="D50" s="1086" t="s">
        <v>114</v>
      </c>
      <c r="E50" s="1090"/>
      <c r="F50" s="1089"/>
      <c r="G50" s="143"/>
      <c r="H50" s="143"/>
      <c r="I50" s="143"/>
      <c r="J50" s="1092" t="s">
        <v>93</v>
      </c>
      <c r="K50" s="1093"/>
      <c r="L50" s="1108"/>
      <c r="M50" s="1101"/>
      <c r="N50" s="187"/>
      <c r="O50" s="598"/>
      <c r="P50" s="603"/>
    </row>
    <row r="51" spans="1:16" s="604" customFormat="1" ht="13.95" customHeight="1" x14ac:dyDescent="0.25">
      <c r="A51" s="600"/>
      <c r="B51" s="601"/>
      <c r="C51" s="602"/>
      <c r="D51" s="1086" t="s">
        <v>116</v>
      </c>
      <c r="E51" s="1090"/>
      <c r="F51" s="1089"/>
      <c r="G51" s="143"/>
      <c r="H51" s="143"/>
      <c r="I51" s="143"/>
      <c r="J51" s="1092" t="s">
        <v>95</v>
      </c>
      <c r="K51" s="1093"/>
      <c r="L51" s="1108"/>
      <c r="M51" s="1101"/>
      <c r="N51" s="187"/>
      <c r="O51" s="598"/>
      <c r="P51" s="603"/>
    </row>
    <row r="52" spans="1:16" s="604" customFormat="1" ht="13.95" customHeight="1" x14ac:dyDescent="0.25">
      <c r="A52" s="600"/>
      <c r="B52" s="601"/>
      <c r="C52" s="602"/>
      <c r="D52" s="1086" t="s">
        <v>118</v>
      </c>
      <c r="E52" s="1090"/>
      <c r="F52" s="1089"/>
      <c r="G52" s="143"/>
      <c r="H52" s="143"/>
      <c r="I52" s="143"/>
      <c r="J52" s="1092" t="s">
        <v>97</v>
      </c>
      <c r="K52" s="1093"/>
      <c r="L52" s="1108"/>
      <c r="M52" s="1101"/>
      <c r="N52" s="187"/>
      <c r="O52" s="598"/>
      <c r="P52" s="603"/>
    </row>
    <row r="53" spans="1:16" s="604" customFormat="1" ht="13.95" customHeight="1" x14ac:dyDescent="0.25">
      <c r="A53" s="600"/>
      <c r="B53" s="601"/>
      <c r="C53" s="602"/>
      <c r="D53" s="1086" t="s">
        <v>80</v>
      </c>
      <c r="E53" s="1090"/>
      <c r="F53" s="1089"/>
      <c r="G53" s="143"/>
      <c r="H53" s="143"/>
      <c r="I53" s="143"/>
      <c r="J53" s="1092" t="s">
        <v>99</v>
      </c>
      <c r="K53" s="1093"/>
      <c r="L53" s="1108"/>
      <c r="M53" s="1101"/>
      <c r="N53" s="187"/>
      <c r="O53" s="598"/>
      <c r="P53" s="603"/>
    </row>
    <row r="54" spans="1:16" s="604" customFormat="1" ht="13.95" customHeight="1" x14ac:dyDescent="0.25">
      <c r="A54" s="600"/>
      <c r="B54" s="601"/>
      <c r="C54" s="602"/>
      <c r="D54" s="1086" t="s">
        <v>121</v>
      </c>
      <c r="E54" s="1090"/>
      <c r="F54" s="1089"/>
      <c r="G54" s="143"/>
      <c r="H54" s="143"/>
      <c r="I54" s="143"/>
      <c r="J54" s="1092" t="s">
        <v>1112</v>
      </c>
      <c r="K54" s="1093"/>
      <c r="L54" s="1108"/>
      <c r="M54" s="1101"/>
      <c r="N54" s="187"/>
      <c r="O54" s="598"/>
      <c r="P54" s="603"/>
    </row>
    <row r="55" spans="1:16" s="604" customFormat="1" ht="13.95" customHeight="1" x14ac:dyDescent="0.25">
      <c r="A55" s="600"/>
      <c r="B55" s="601"/>
      <c r="C55" s="602"/>
      <c r="D55" s="1086" t="s">
        <v>124</v>
      </c>
      <c r="E55" s="1090"/>
      <c r="F55" s="1089"/>
      <c r="G55" s="143"/>
      <c r="H55" s="143"/>
      <c r="I55" s="143"/>
      <c r="J55" s="1092" t="s">
        <v>0</v>
      </c>
      <c r="K55" s="1093"/>
      <c r="L55" s="1108"/>
      <c r="M55" s="1101"/>
      <c r="N55" s="187"/>
      <c r="O55" s="598"/>
      <c r="P55" s="603"/>
    </row>
    <row r="56" spans="1:16" s="604" customFormat="1" ht="13.95" customHeight="1" x14ac:dyDescent="0.25">
      <c r="A56" s="600"/>
      <c r="B56" s="601"/>
      <c r="C56" s="602"/>
      <c r="D56" s="1086" t="s">
        <v>127</v>
      </c>
      <c r="E56" s="1090"/>
      <c r="F56" s="1089"/>
      <c r="G56" s="143"/>
      <c r="H56" s="143"/>
      <c r="I56" s="143"/>
      <c r="J56" s="1092" t="s">
        <v>40</v>
      </c>
      <c r="K56" s="1093"/>
      <c r="L56" s="1108"/>
      <c r="M56" s="1101"/>
      <c r="N56" s="187"/>
      <c r="O56" s="598"/>
      <c r="P56" s="603"/>
    </row>
    <row r="57" spans="1:16" s="604" customFormat="1" ht="13.95" customHeight="1" x14ac:dyDescent="0.25">
      <c r="A57" s="600"/>
      <c r="B57" s="601"/>
      <c r="C57" s="602"/>
      <c r="D57" s="1086" t="s">
        <v>130</v>
      </c>
      <c r="E57" s="1090"/>
      <c r="F57" s="1089"/>
      <c r="G57" s="143"/>
      <c r="H57" s="143"/>
      <c r="I57" s="143"/>
      <c r="J57" s="1092" t="s">
        <v>44</v>
      </c>
      <c r="K57" s="1093"/>
      <c r="L57" s="1108"/>
      <c r="M57" s="1101"/>
      <c r="N57" s="187"/>
      <c r="O57" s="598"/>
      <c r="P57" s="603"/>
    </row>
    <row r="58" spans="1:16" s="604" customFormat="1" ht="13.95" customHeight="1" x14ac:dyDescent="0.25">
      <c r="A58" s="600"/>
      <c r="B58" s="601"/>
      <c r="C58" s="602"/>
      <c r="D58" s="1086" t="s">
        <v>133</v>
      </c>
      <c r="E58" s="1090"/>
      <c r="F58" s="1089"/>
      <c r="G58" s="143"/>
      <c r="H58" s="143"/>
      <c r="I58" s="143"/>
      <c r="J58" s="1092" t="s">
        <v>46</v>
      </c>
      <c r="K58" s="1093"/>
      <c r="L58" s="1108"/>
      <c r="M58" s="1101"/>
      <c r="N58" s="187"/>
      <c r="O58" s="598"/>
      <c r="P58" s="603"/>
    </row>
    <row r="59" spans="1:16" s="604" customFormat="1" ht="13.95" customHeight="1" x14ac:dyDescent="0.25">
      <c r="A59" s="600"/>
      <c r="B59" s="601"/>
      <c r="C59" s="602"/>
      <c r="D59" s="1086" t="s">
        <v>82</v>
      </c>
      <c r="E59" s="1090"/>
      <c r="F59" s="1089"/>
      <c r="G59" s="143"/>
      <c r="H59" s="143"/>
      <c r="I59" s="143"/>
      <c r="J59" s="1092" t="s">
        <v>1101</v>
      </c>
      <c r="K59" s="1093"/>
      <c r="L59" s="1108"/>
      <c r="M59" s="1101"/>
      <c r="N59" s="187"/>
      <c r="O59" s="598"/>
      <c r="P59" s="603"/>
    </row>
    <row r="60" spans="1:16" s="604" customFormat="1" ht="13.95" customHeight="1" x14ac:dyDescent="0.25">
      <c r="A60" s="600"/>
      <c r="B60" s="601"/>
      <c r="C60" s="602"/>
      <c r="D60" s="1086" t="s">
        <v>138</v>
      </c>
      <c r="E60" s="1090"/>
      <c r="F60" s="1089"/>
      <c r="G60" s="143"/>
      <c r="H60" s="143"/>
      <c r="I60" s="143"/>
      <c r="J60" s="1092" t="s">
        <v>1102</v>
      </c>
      <c r="K60" s="1093"/>
      <c r="L60" s="1108"/>
      <c r="M60" s="1101"/>
      <c r="N60" s="187"/>
      <c r="O60" s="598"/>
      <c r="P60" s="603"/>
    </row>
    <row r="61" spans="1:16" s="604" customFormat="1" ht="13.95" customHeight="1" x14ac:dyDescent="0.25">
      <c r="A61" s="600"/>
      <c r="B61" s="601"/>
      <c r="C61" s="602"/>
      <c r="D61" s="1086" t="s">
        <v>141</v>
      </c>
      <c r="E61" s="1090"/>
      <c r="F61" s="1089"/>
      <c r="G61" s="143"/>
      <c r="H61" s="143"/>
      <c r="I61" s="143"/>
      <c r="J61" s="1092" t="s">
        <v>69</v>
      </c>
      <c r="K61" s="1093"/>
      <c r="L61" s="1108"/>
      <c r="M61" s="1101"/>
      <c r="N61" s="187"/>
      <c r="O61" s="598"/>
      <c r="P61" s="603"/>
    </row>
    <row r="62" spans="1:16" s="604" customFormat="1" ht="13.95" customHeight="1" x14ac:dyDescent="0.25">
      <c r="A62" s="600"/>
      <c r="B62" s="601"/>
      <c r="C62" s="602"/>
      <c r="D62" s="1086" t="s">
        <v>144</v>
      </c>
      <c r="E62" s="1090"/>
      <c r="F62" s="1089"/>
      <c r="G62" s="143"/>
      <c r="H62" s="143"/>
      <c r="I62" s="143"/>
      <c r="J62" s="1092" t="s">
        <v>84</v>
      </c>
      <c r="K62" s="1093"/>
      <c r="L62" s="1108"/>
      <c r="M62" s="1101"/>
      <c r="N62" s="187"/>
      <c r="O62" s="598"/>
      <c r="P62" s="603"/>
    </row>
    <row r="63" spans="1:16" s="604" customFormat="1" ht="13.95" customHeight="1" x14ac:dyDescent="0.25">
      <c r="A63" s="600"/>
      <c r="B63" s="601"/>
      <c r="C63" s="602"/>
      <c r="D63" s="1086" t="s">
        <v>147</v>
      </c>
      <c r="E63" s="1090"/>
      <c r="F63" s="1089"/>
      <c r="G63" s="143"/>
      <c r="H63" s="143"/>
      <c r="I63" s="143"/>
      <c r="J63" s="1092" t="s">
        <v>86</v>
      </c>
      <c r="K63" s="1093"/>
      <c r="L63" s="1108"/>
      <c r="M63" s="1101"/>
      <c r="N63" s="187"/>
      <c r="O63" s="598"/>
      <c r="P63" s="603"/>
    </row>
    <row r="64" spans="1:16" s="604" customFormat="1" ht="13.95" customHeight="1" x14ac:dyDescent="0.25">
      <c r="A64" s="600"/>
      <c r="B64" s="601"/>
      <c r="C64" s="602"/>
      <c r="D64" s="1086" t="s">
        <v>57</v>
      </c>
      <c r="E64" s="1090"/>
      <c r="F64" s="1089"/>
      <c r="G64" s="143"/>
      <c r="H64" s="143"/>
      <c r="I64" s="143"/>
      <c r="J64" s="1092" t="s">
        <v>88</v>
      </c>
      <c r="K64" s="1093"/>
      <c r="L64" s="1108"/>
      <c r="M64" s="1101"/>
      <c r="N64" s="187"/>
      <c r="O64" s="598"/>
      <c r="P64" s="603"/>
    </row>
    <row r="65" spans="1:16" s="604" customFormat="1" ht="13.95" customHeight="1" x14ac:dyDescent="0.25">
      <c r="A65" s="600"/>
      <c r="B65" s="601"/>
      <c r="C65" s="602"/>
      <c r="D65" s="1086" t="s">
        <v>154</v>
      </c>
      <c r="E65" s="1090"/>
      <c r="F65" s="1089"/>
      <c r="G65" s="143"/>
      <c r="H65" s="143"/>
      <c r="I65" s="143"/>
      <c r="J65" s="1092" t="s">
        <v>90</v>
      </c>
      <c r="K65" s="1093"/>
      <c r="L65" s="1108"/>
      <c r="M65" s="1101"/>
      <c r="N65" s="187"/>
      <c r="O65" s="598"/>
      <c r="P65" s="603"/>
    </row>
    <row r="66" spans="1:16" s="604" customFormat="1" ht="13.95" customHeight="1" x14ac:dyDescent="0.25">
      <c r="A66" s="600"/>
      <c r="B66" s="601"/>
      <c r="C66" s="602"/>
      <c r="D66" s="1086" t="s">
        <v>157</v>
      </c>
      <c r="E66" s="1090"/>
      <c r="F66" s="1089"/>
      <c r="G66" s="143"/>
      <c r="H66" s="143"/>
      <c r="I66" s="143"/>
      <c r="J66" s="1092" t="s">
        <v>1145</v>
      </c>
      <c r="K66" s="1093"/>
      <c r="L66" s="1108"/>
      <c r="M66" s="1101"/>
      <c r="N66" s="187"/>
      <c r="O66" s="598"/>
      <c r="P66" s="603"/>
    </row>
    <row r="67" spans="1:16" s="604" customFormat="1" ht="13.95" customHeight="1" x14ac:dyDescent="0.25">
      <c r="A67" s="600"/>
      <c r="B67" s="601"/>
      <c r="C67" s="602"/>
      <c r="D67" s="1086" t="s">
        <v>159</v>
      </c>
      <c r="E67" s="1090"/>
      <c r="F67" s="1089"/>
      <c r="G67" s="143"/>
      <c r="H67" s="143"/>
      <c r="I67" s="143"/>
      <c r="J67" s="1092" t="s">
        <v>1121</v>
      </c>
      <c r="K67" s="1093"/>
      <c r="L67" s="1108"/>
      <c r="M67" s="1101"/>
      <c r="N67" s="187"/>
      <c r="O67" s="598"/>
      <c r="P67" s="603"/>
    </row>
    <row r="68" spans="1:16" ht="13.95" customHeight="1" x14ac:dyDescent="0.25">
      <c r="A68" s="169"/>
      <c r="B68" s="273"/>
      <c r="C68" s="378"/>
      <c r="D68" s="470" t="s">
        <v>41</v>
      </c>
      <c r="E68" s="472"/>
      <c r="F68" s="478"/>
      <c r="J68" s="1092" t="s">
        <v>1127</v>
      </c>
      <c r="K68" s="1093"/>
      <c r="L68" s="1108"/>
      <c r="M68" s="1101"/>
      <c r="O68" s="277"/>
      <c r="P68" s="278"/>
    </row>
    <row r="69" spans="1:16" ht="13.95" customHeight="1" x14ac:dyDescent="0.25">
      <c r="A69" s="169"/>
      <c r="B69" s="273"/>
      <c r="C69" s="378"/>
      <c r="D69" s="470" t="s">
        <v>42</v>
      </c>
      <c r="E69" s="472"/>
      <c r="F69" s="478"/>
      <c r="J69" s="1092" t="s">
        <v>1146</v>
      </c>
      <c r="K69" s="1093"/>
      <c r="L69" s="1108"/>
      <c r="M69" s="1101"/>
      <c r="O69" s="277"/>
      <c r="P69" s="278"/>
    </row>
    <row r="70" spans="1:16" ht="13.95" customHeight="1" x14ac:dyDescent="0.25">
      <c r="A70" s="169"/>
      <c r="B70" s="273"/>
      <c r="C70" s="378"/>
      <c r="D70" s="470" t="s">
        <v>43</v>
      </c>
      <c r="E70" s="472"/>
      <c r="F70" s="478"/>
      <c r="J70" s="1092" t="s">
        <v>66</v>
      </c>
      <c r="K70" s="1093"/>
      <c r="L70" s="1108"/>
      <c r="M70" s="1101"/>
      <c r="O70" s="277"/>
      <c r="P70" s="278"/>
    </row>
    <row r="71" spans="1:16" ht="13.95" customHeight="1" x14ac:dyDescent="0.25">
      <c r="A71" s="169"/>
      <c r="B71" s="273"/>
      <c r="C71" s="378"/>
      <c r="D71" s="470" t="s">
        <v>45</v>
      </c>
      <c r="E71" s="472"/>
      <c r="F71" s="478"/>
      <c r="J71" s="1092" t="s">
        <v>73</v>
      </c>
      <c r="K71" s="1093"/>
      <c r="L71" s="1108"/>
      <c r="M71" s="1101"/>
      <c r="O71" s="277"/>
      <c r="P71" s="278"/>
    </row>
    <row r="72" spans="1:16" ht="13.95" customHeight="1" x14ac:dyDescent="0.25">
      <c r="A72" s="169"/>
      <c r="B72" s="273"/>
      <c r="C72" s="378"/>
      <c r="D72" s="470" t="s">
        <v>47</v>
      </c>
      <c r="E72" s="472"/>
      <c r="F72" s="478"/>
      <c r="J72" s="1092" t="s">
        <v>76</v>
      </c>
      <c r="K72" s="1093"/>
      <c r="L72" s="1108"/>
      <c r="M72" s="1101"/>
      <c r="O72" s="277"/>
      <c r="P72" s="278"/>
    </row>
    <row r="73" spans="1:16" ht="13.95" customHeight="1" x14ac:dyDescent="0.25">
      <c r="A73" s="169"/>
      <c r="B73" s="273"/>
      <c r="C73" s="378"/>
      <c r="D73" s="470" t="s">
        <v>49</v>
      </c>
      <c r="E73" s="472"/>
      <c r="F73" s="478"/>
      <c r="J73" s="1092" t="s">
        <v>79</v>
      </c>
      <c r="K73" s="1093"/>
      <c r="L73" s="1108"/>
      <c r="M73" s="1101"/>
      <c r="O73" s="277"/>
      <c r="P73" s="278"/>
    </row>
    <row r="74" spans="1:16" ht="13.95" customHeight="1" x14ac:dyDescent="0.25">
      <c r="A74" s="169"/>
      <c r="B74" s="273"/>
      <c r="C74" s="378"/>
      <c r="D74" s="470" t="s">
        <v>51</v>
      </c>
      <c r="E74" s="472"/>
      <c r="F74" s="478"/>
      <c r="J74" s="1092" t="s">
        <v>77</v>
      </c>
      <c r="K74" s="1093"/>
      <c r="L74" s="1108"/>
      <c r="M74" s="1101"/>
      <c r="O74" s="277"/>
      <c r="P74" s="278"/>
    </row>
    <row r="75" spans="1:16" ht="13.95" customHeight="1" x14ac:dyDescent="0.25">
      <c r="A75" s="169"/>
      <c r="B75" s="273"/>
      <c r="C75" s="378"/>
      <c r="D75" s="470" t="s">
        <v>53</v>
      </c>
      <c r="E75" s="472"/>
      <c r="F75" s="478"/>
      <c r="J75" s="1092" t="s">
        <v>110</v>
      </c>
      <c r="K75" s="1093"/>
      <c r="L75" s="1108"/>
      <c r="M75" s="1101"/>
      <c r="O75" s="277"/>
      <c r="P75" s="278"/>
    </row>
    <row r="76" spans="1:16" ht="13.95" customHeight="1" x14ac:dyDescent="0.25">
      <c r="A76" s="169"/>
      <c r="B76" s="273"/>
      <c r="C76" s="378"/>
      <c r="D76" s="470" t="s">
        <v>55</v>
      </c>
      <c r="E76" s="472"/>
      <c r="F76" s="478"/>
      <c r="J76" s="1092" t="s">
        <v>112</v>
      </c>
      <c r="K76" s="1105"/>
      <c r="L76" s="1109"/>
      <c r="M76" s="1101"/>
      <c r="O76" s="277"/>
      <c r="P76" s="278"/>
    </row>
    <row r="77" spans="1:16" ht="13.95" customHeight="1" x14ac:dyDescent="0.25">
      <c r="A77" s="169"/>
      <c r="B77" s="273"/>
      <c r="C77" s="378"/>
      <c r="D77" s="470" t="s">
        <v>58</v>
      </c>
      <c r="E77" s="472"/>
      <c r="F77" s="478"/>
      <c r="J77" s="1092" t="s">
        <v>114</v>
      </c>
      <c r="K77" s="1105"/>
      <c r="L77" s="1109"/>
      <c r="M77" s="1101"/>
      <c r="O77" s="277"/>
      <c r="P77" s="278"/>
    </row>
    <row r="78" spans="1:16" ht="13.95" customHeight="1" x14ac:dyDescent="0.25">
      <c r="A78" s="169"/>
      <c r="B78" s="273"/>
      <c r="C78" s="378"/>
      <c r="D78" s="470" t="s">
        <v>60</v>
      </c>
      <c r="E78" s="472"/>
      <c r="F78" s="478"/>
      <c r="J78" s="1092" t="s">
        <v>116</v>
      </c>
      <c r="K78" s="1105"/>
      <c r="L78" s="1109"/>
      <c r="M78" s="1101"/>
      <c r="O78" s="277"/>
      <c r="P78" s="278"/>
    </row>
    <row r="79" spans="1:16" ht="13.95" customHeight="1" thickBot="1" x14ac:dyDescent="0.3">
      <c r="A79" s="169"/>
      <c r="B79" s="273"/>
      <c r="C79" s="378"/>
      <c r="D79" s="470" t="s">
        <v>62</v>
      </c>
      <c r="E79" s="472"/>
      <c r="F79" s="478"/>
      <c r="J79" s="1092" t="s">
        <v>118</v>
      </c>
      <c r="K79" s="1105"/>
      <c r="L79" s="1110"/>
      <c r="M79" s="1101"/>
      <c r="O79" s="277"/>
      <c r="P79" s="278"/>
    </row>
    <row r="80" spans="1:16" ht="13.95" customHeight="1" thickBot="1" x14ac:dyDescent="0.3">
      <c r="A80" s="169"/>
      <c r="B80" s="273"/>
      <c r="C80" s="378"/>
      <c r="D80" s="470" t="s">
        <v>64</v>
      </c>
      <c r="E80" s="472"/>
      <c r="F80" s="478"/>
      <c r="J80" s="381" t="s">
        <v>158</v>
      </c>
      <c r="K80" s="1103">
        <f>VLOOKUP($J80,Mapping!E:F,2,FALSE)</f>
        <v>0</v>
      </c>
      <c r="L80" s="1104">
        <f>VLOOKUP($J80,Mapping!E:G,3,FALSE)</f>
        <v>0</v>
      </c>
      <c r="M80" s="1098" t="s">
        <v>1700</v>
      </c>
      <c r="O80" s="277"/>
      <c r="P80" s="278"/>
    </row>
    <row r="81" spans="1:16" ht="13.95" customHeight="1" thickBot="1" x14ac:dyDescent="0.3">
      <c r="A81" s="169"/>
      <c r="B81" s="273"/>
      <c r="C81" s="378"/>
      <c r="D81" s="470" t="s">
        <v>67</v>
      </c>
      <c r="E81" s="472"/>
      <c r="F81" s="478"/>
      <c r="J81" s="381" t="s">
        <v>160</v>
      </c>
      <c r="K81" s="1103">
        <f>VLOOKUP(J81,Mapping!E:F,2,FALSE)</f>
        <v>0</v>
      </c>
      <c r="L81" s="1099">
        <f>VLOOKUP($J81,Mapping!E:G,3,FALSE)</f>
        <v>0</v>
      </c>
      <c r="M81" s="1098" t="s">
        <v>1700</v>
      </c>
      <c r="O81" s="277"/>
      <c r="P81" s="278"/>
    </row>
    <row r="82" spans="1:16" ht="13.95" customHeight="1" thickBot="1" x14ac:dyDescent="0.3">
      <c r="A82" s="169"/>
      <c r="B82" s="273"/>
      <c r="C82" s="378"/>
      <c r="D82" s="470" t="s">
        <v>70</v>
      </c>
      <c r="E82" s="472"/>
      <c r="F82" s="478"/>
      <c r="J82" s="381" t="s">
        <v>161</v>
      </c>
      <c r="K82" s="1103">
        <f>VLOOKUP(J82,Mapping!E:F,2,FALSE)</f>
        <v>0</v>
      </c>
      <c r="L82" s="1099">
        <f>VLOOKUP($J82,Mapping!E:G,3,FALSE)</f>
        <v>0</v>
      </c>
      <c r="M82" s="1098" t="s">
        <v>1700</v>
      </c>
      <c r="O82" s="277"/>
      <c r="P82" s="278"/>
    </row>
    <row r="83" spans="1:16" ht="13.95" customHeight="1" thickBot="1" x14ac:dyDescent="0.3">
      <c r="A83" s="169"/>
      <c r="B83" s="273"/>
      <c r="C83" s="378"/>
      <c r="D83" s="470" t="s">
        <v>72</v>
      </c>
      <c r="E83" s="472"/>
      <c r="F83" s="478"/>
      <c r="J83" s="381" t="s">
        <v>162</v>
      </c>
      <c r="K83" s="1103">
        <f>VLOOKUP(J83,Mapping!E:F,2,FALSE)</f>
        <v>0</v>
      </c>
      <c r="L83" s="1099">
        <f>VLOOKUP($J83,Mapping!E:G,3,FALSE)</f>
        <v>0</v>
      </c>
      <c r="M83" s="1098" t="s">
        <v>1699</v>
      </c>
      <c r="O83" s="277"/>
      <c r="P83" s="278"/>
    </row>
    <row r="84" spans="1:16" ht="13.95" customHeight="1" thickBot="1" x14ac:dyDescent="0.3">
      <c r="A84" s="169"/>
      <c r="B84" s="273"/>
      <c r="C84" s="378"/>
      <c r="D84" s="470" t="s">
        <v>75</v>
      </c>
      <c r="E84" s="472"/>
      <c r="F84" s="478"/>
      <c r="J84" s="381" t="s">
        <v>163</v>
      </c>
      <c r="K84" s="1103">
        <f>VLOOKUP(J84,Mapping!E:F,2,FALSE)</f>
        <v>0</v>
      </c>
      <c r="L84" s="1099">
        <f>VLOOKUP($J84,Mapping!E:G,3,FALSE)</f>
        <v>0</v>
      </c>
      <c r="M84" s="1098" t="s">
        <v>1700</v>
      </c>
      <c r="O84" s="277"/>
      <c r="P84" s="278"/>
    </row>
    <row r="85" spans="1:16" ht="13.95" customHeight="1" thickBot="1" x14ac:dyDescent="0.3">
      <c r="A85" s="169"/>
      <c r="B85" s="273"/>
      <c r="C85" s="378"/>
      <c r="D85" s="470" t="s">
        <v>78</v>
      </c>
      <c r="E85" s="472"/>
      <c r="F85" s="478"/>
      <c r="J85" s="381" t="s">
        <v>164</v>
      </c>
      <c r="K85" s="1103">
        <f>VLOOKUP(J85,Mapping!E:F,2,FALSE)</f>
        <v>0</v>
      </c>
      <c r="L85" s="1099">
        <f>VLOOKUP($J85,Mapping!E:G,3,FALSE)</f>
        <v>0</v>
      </c>
      <c r="M85" s="1098" t="s">
        <v>1699</v>
      </c>
      <c r="O85" s="277"/>
      <c r="P85" s="278"/>
    </row>
    <row r="86" spans="1:16" ht="13.95" customHeight="1" thickBot="1" x14ac:dyDescent="0.3">
      <c r="A86" s="169"/>
      <c r="B86" s="273"/>
      <c r="C86" s="378"/>
      <c r="D86" s="470" t="s">
        <v>81</v>
      </c>
      <c r="E86" s="472"/>
      <c r="F86" s="478"/>
      <c r="J86" s="381" t="s">
        <v>166</v>
      </c>
      <c r="K86" s="1103">
        <f>VLOOKUP(J86,Mapping!E:F,2,FALSE)</f>
        <v>0</v>
      </c>
      <c r="L86" s="1099">
        <f>VLOOKUP($J86,Mapping!E:G,3,FALSE)</f>
        <v>0</v>
      </c>
      <c r="M86" s="1098" t="s">
        <v>1699</v>
      </c>
      <c r="O86" s="277"/>
      <c r="P86" s="278"/>
    </row>
    <row r="87" spans="1:16" ht="13.95" customHeight="1" thickBot="1" x14ac:dyDescent="0.3">
      <c r="A87" s="169"/>
      <c r="B87" s="273"/>
      <c r="C87" s="378"/>
      <c r="D87" s="470" t="s">
        <v>83</v>
      </c>
      <c r="E87" s="472"/>
      <c r="F87" s="478"/>
      <c r="J87" s="381" t="s">
        <v>167</v>
      </c>
      <c r="K87" s="1103">
        <f>VLOOKUP(J87,Mapping!E:F,2,FALSE)</f>
        <v>0</v>
      </c>
      <c r="L87" s="1099">
        <f>VLOOKUP($J87,Mapping!E:G,3,FALSE)</f>
        <v>0</v>
      </c>
      <c r="M87" s="1098" t="s">
        <v>1700</v>
      </c>
      <c r="O87" s="277"/>
      <c r="P87" s="278"/>
    </row>
    <row r="88" spans="1:16" ht="13.95" customHeight="1" thickBot="1" x14ac:dyDescent="0.3">
      <c r="A88" s="169"/>
      <c r="B88" s="273"/>
      <c r="C88" s="378"/>
      <c r="D88" s="470" t="s">
        <v>85</v>
      </c>
      <c r="E88" s="472"/>
      <c r="F88" s="478"/>
      <c r="J88" s="381" t="s">
        <v>168</v>
      </c>
      <c r="K88" s="1103">
        <f>VLOOKUP(J88,Mapping!E:F,2,FALSE)</f>
        <v>0</v>
      </c>
      <c r="L88" s="1099">
        <f>VLOOKUP($J88,Mapping!E:G,3,FALSE)</f>
        <v>0</v>
      </c>
      <c r="M88" s="1098" t="s">
        <v>1700</v>
      </c>
      <c r="O88" s="277"/>
      <c r="P88" s="278"/>
    </row>
    <row r="89" spans="1:16" ht="13.95" customHeight="1" thickBot="1" x14ac:dyDescent="0.3">
      <c r="A89" s="169"/>
      <c r="B89" s="273"/>
      <c r="C89" s="378"/>
      <c r="D89" s="470" t="s">
        <v>87</v>
      </c>
      <c r="E89" s="472"/>
      <c r="F89" s="478"/>
      <c r="J89" s="381" t="s">
        <v>169</v>
      </c>
      <c r="K89" s="1103">
        <f>VLOOKUP(J89,Mapping!E:F,2,FALSE)</f>
        <v>0</v>
      </c>
      <c r="L89" s="1099">
        <f>VLOOKUP($J89,Mapping!E:G,3,FALSE)</f>
        <v>0</v>
      </c>
      <c r="M89" s="1098" t="s">
        <v>1700</v>
      </c>
      <c r="O89" s="277"/>
      <c r="P89" s="278"/>
    </row>
    <row r="90" spans="1:16" ht="13.95" customHeight="1" thickBot="1" x14ac:dyDescent="0.3">
      <c r="A90" s="169"/>
      <c r="B90" s="273"/>
      <c r="C90" s="378"/>
      <c r="D90" s="470" t="s">
        <v>89</v>
      </c>
      <c r="E90" s="472"/>
      <c r="F90" s="478"/>
      <c r="J90" s="381" t="s">
        <v>170</v>
      </c>
      <c r="K90" s="1103">
        <f>VLOOKUP(J90,Mapping!E:F,2,FALSE)</f>
        <v>0</v>
      </c>
      <c r="L90" s="1099">
        <f>VLOOKUP($J90,Mapping!E:G,3,FALSE)</f>
        <v>0</v>
      </c>
      <c r="M90" s="1098" t="s">
        <v>1700</v>
      </c>
      <c r="O90" s="277"/>
      <c r="P90" s="278"/>
    </row>
    <row r="91" spans="1:16" ht="13.95" customHeight="1" thickBot="1" x14ac:dyDescent="0.3">
      <c r="A91" s="169"/>
      <c r="B91" s="273"/>
      <c r="C91" s="378"/>
      <c r="D91" s="470" t="s">
        <v>91</v>
      </c>
      <c r="E91" s="472"/>
      <c r="F91" s="478"/>
      <c r="J91" s="381" t="s">
        <v>171</v>
      </c>
      <c r="K91" s="1103">
        <f>VLOOKUP(J91,Mapping!E:F,2,FALSE)</f>
        <v>0</v>
      </c>
      <c r="L91" s="1099">
        <f>VLOOKUP($J91,Mapping!E:G,3,FALSE)</f>
        <v>0</v>
      </c>
      <c r="M91" s="1098" t="s">
        <v>1700</v>
      </c>
      <c r="O91" s="277"/>
      <c r="P91" s="278"/>
    </row>
    <row r="92" spans="1:16" ht="13.95" customHeight="1" thickBot="1" x14ac:dyDescent="0.3">
      <c r="A92" s="169"/>
      <c r="B92" s="273"/>
      <c r="C92" s="378"/>
      <c r="D92" s="470" t="s">
        <v>92</v>
      </c>
      <c r="E92" s="472"/>
      <c r="F92" s="478"/>
      <c r="J92" s="381" t="s">
        <v>172</v>
      </c>
      <c r="K92" s="1103">
        <f>VLOOKUP(J92,Mapping!E:F,2,FALSE)</f>
        <v>0</v>
      </c>
      <c r="L92" s="1099">
        <f>VLOOKUP($J92,Mapping!E:G,3,FALSE)</f>
        <v>0</v>
      </c>
      <c r="M92" s="1098" t="s">
        <v>1699</v>
      </c>
      <c r="O92" s="277"/>
      <c r="P92" s="278"/>
    </row>
    <row r="93" spans="1:16" ht="13.95" customHeight="1" thickBot="1" x14ac:dyDescent="0.3">
      <c r="A93" s="169"/>
      <c r="B93" s="273"/>
      <c r="C93" s="378"/>
      <c r="D93" s="470" t="s">
        <v>94</v>
      </c>
      <c r="E93" s="472"/>
      <c r="F93" s="478"/>
      <c r="J93" s="381" t="s">
        <v>174</v>
      </c>
      <c r="K93" s="1103">
        <f>VLOOKUP(J93,Mapping!E:F,2,FALSE)</f>
        <v>0</v>
      </c>
      <c r="L93" s="1099">
        <f>VLOOKUP($J93,Mapping!E:G,3,FALSE)</f>
        <v>0</v>
      </c>
      <c r="M93" s="1098" t="s">
        <v>1700</v>
      </c>
      <c r="O93" s="277"/>
      <c r="P93" s="278"/>
    </row>
    <row r="94" spans="1:16" ht="13.95" customHeight="1" thickBot="1" x14ac:dyDescent="0.3">
      <c r="A94" s="169"/>
      <c r="B94" s="273"/>
      <c r="C94" s="378"/>
      <c r="D94" s="470" t="s">
        <v>96</v>
      </c>
      <c r="E94" s="472"/>
      <c r="F94" s="478"/>
      <c r="J94" s="381" t="s">
        <v>1050</v>
      </c>
      <c r="K94" s="1103">
        <f>VLOOKUP(J94,Mapping!E:F,2,FALSE)</f>
        <v>0</v>
      </c>
      <c r="L94" s="1099">
        <f>VLOOKUP($J94,Mapping!E:G,3,FALSE)</f>
        <v>0</v>
      </c>
      <c r="M94" s="1098" t="s">
        <v>1700</v>
      </c>
      <c r="O94" s="277"/>
      <c r="P94" s="278"/>
    </row>
    <row r="95" spans="1:16" ht="13.95" customHeight="1" thickBot="1" x14ac:dyDescent="0.3">
      <c r="A95" s="169"/>
      <c r="B95" s="273"/>
      <c r="C95" s="378"/>
      <c r="D95" s="470" t="s">
        <v>98</v>
      </c>
      <c r="E95" s="472"/>
      <c r="F95" s="478"/>
      <c r="J95" s="381" t="s">
        <v>176</v>
      </c>
      <c r="K95" s="1103">
        <f>VLOOKUP(J95,Mapping!E:F,2,FALSE)</f>
        <v>0</v>
      </c>
      <c r="L95" s="1099">
        <f>VLOOKUP($J95,Mapping!E:G,3,FALSE)</f>
        <v>0</v>
      </c>
      <c r="M95" s="1098" t="s">
        <v>1691</v>
      </c>
      <c r="O95" s="277"/>
      <c r="P95" s="278"/>
    </row>
    <row r="96" spans="1:16" ht="13.95" customHeight="1" thickBot="1" x14ac:dyDescent="0.3">
      <c r="A96" s="169"/>
      <c r="B96" s="273"/>
      <c r="C96" s="378"/>
      <c r="D96" s="470" t="s">
        <v>100</v>
      </c>
      <c r="E96" s="472"/>
      <c r="F96" s="478"/>
      <c r="J96" s="381" t="s">
        <v>177</v>
      </c>
      <c r="K96" s="1103">
        <f>VLOOKUP(J96,Mapping!E:F,2,FALSE)</f>
        <v>0</v>
      </c>
      <c r="L96" s="1099">
        <f>VLOOKUP($J96,Mapping!E:G,3,FALSE)</f>
        <v>0</v>
      </c>
      <c r="M96" s="1098" t="s">
        <v>1691</v>
      </c>
      <c r="O96" s="277"/>
      <c r="P96" s="278"/>
    </row>
    <row r="97" spans="1:16" ht="13.95" customHeight="1" thickBot="1" x14ac:dyDescent="0.3">
      <c r="A97" s="169"/>
      <c r="B97" s="273"/>
      <c r="C97" s="378"/>
      <c r="D97" s="470" t="s">
        <v>101</v>
      </c>
      <c r="E97" s="472"/>
      <c r="F97" s="478"/>
      <c r="J97" s="381" t="s">
        <v>178</v>
      </c>
      <c r="K97" s="1103">
        <f>VLOOKUP(J97,Mapping!E:F,2,FALSE)</f>
        <v>0</v>
      </c>
      <c r="L97" s="1099">
        <f>VLOOKUP($J97,Mapping!E:G,3,FALSE)</f>
        <v>0</v>
      </c>
      <c r="M97" s="1098" t="s">
        <v>1691</v>
      </c>
      <c r="O97" s="277"/>
      <c r="P97" s="278"/>
    </row>
    <row r="98" spans="1:16" ht="13.95" customHeight="1" thickBot="1" x14ac:dyDescent="0.3">
      <c r="A98" s="169"/>
      <c r="B98" s="273"/>
      <c r="C98" s="378"/>
      <c r="D98" s="470" t="s">
        <v>103</v>
      </c>
      <c r="E98" s="472"/>
      <c r="F98" s="478"/>
      <c r="J98" s="381" t="s">
        <v>179</v>
      </c>
      <c r="K98" s="1103">
        <f>VLOOKUP(J98,Mapping!E:F,2,FALSE)</f>
        <v>0</v>
      </c>
      <c r="L98" s="1099">
        <f>VLOOKUP($J98,Mapping!E:G,3,FALSE)</f>
        <v>0</v>
      </c>
      <c r="M98" s="1098" t="s">
        <v>1691</v>
      </c>
      <c r="O98" s="277"/>
      <c r="P98" s="278"/>
    </row>
    <row r="99" spans="1:16" ht="13.95" customHeight="1" thickBot="1" x14ac:dyDescent="0.3">
      <c r="A99" s="169"/>
      <c r="B99" s="273"/>
      <c r="C99" s="378"/>
      <c r="D99" s="470" t="s">
        <v>105</v>
      </c>
      <c r="E99" s="472"/>
      <c r="F99" s="478"/>
      <c r="J99" s="381" t="s">
        <v>180</v>
      </c>
      <c r="K99" s="1103">
        <f>VLOOKUP(J99,Mapping!E:F,2,FALSE)</f>
        <v>0</v>
      </c>
      <c r="L99" s="1099">
        <f>VLOOKUP($J99,Mapping!E:G,3,FALSE)</f>
        <v>0</v>
      </c>
      <c r="M99" s="1098" t="s">
        <v>1691</v>
      </c>
      <c r="O99" s="277"/>
      <c r="P99" s="278"/>
    </row>
    <row r="100" spans="1:16" ht="13.95" customHeight="1" thickBot="1" x14ac:dyDescent="0.3">
      <c r="A100" s="169"/>
      <c r="B100" s="273"/>
      <c r="C100" s="378"/>
      <c r="D100" s="470" t="s">
        <v>107</v>
      </c>
      <c r="E100" s="472"/>
      <c r="F100" s="478"/>
      <c r="J100" s="381" t="s">
        <v>181</v>
      </c>
      <c r="K100" s="1103">
        <f>VLOOKUP(J100,Mapping!E:F,2,FALSE)</f>
        <v>0</v>
      </c>
      <c r="L100" s="1099">
        <f>VLOOKUP($J100,Mapping!E:G,3,FALSE)</f>
        <v>0</v>
      </c>
      <c r="M100" s="1098" t="s">
        <v>1691</v>
      </c>
      <c r="O100" s="277"/>
      <c r="P100" s="278"/>
    </row>
    <row r="101" spans="1:16" ht="13.95" customHeight="1" thickBot="1" x14ac:dyDescent="0.3">
      <c r="A101" s="169"/>
      <c r="B101" s="273"/>
      <c r="C101" s="378"/>
      <c r="D101" s="470" t="s">
        <v>108</v>
      </c>
      <c r="E101" s="472"/>
      <c r="F101" s="478"/>
      <c r="J101" s="381" t="s">
        <v>182</v>
      </c>
      <c r="K101" s="1103">
        <f>VLOOKUP(J101,Mapping!E:F,2,FALSE)</f>
        <v>0</v>
      </c>
      <c r="L101" s="1099">
        <f>VLOOKUP($J101,Mapping!E:G,3,FALSE)</f>
        <v>0</v>
      </c>
      <c r="M101" s="1098" t="s">
        <v>1691</v>
      </c>
      <c r="O101" s="277"/>
      <c r="P101" s="278"/>
    </row>
    <row r="102" spans="1:16" ht="13.95" customHeight="1" thickBot="1" x14ac:dyDescent="0.3">
      <c r="A102" s="169"/>
      <c r="B102" s="273"/>
      <c r="C102" s="378"/>
      <c r="D102" s="470" t="s">
        <v>111</v>
      </c>
      <c r="E102" s="472"/>
      <c r="F102" s="478"/>
      <c r="J102" s="381" t="s">
        <v>1051</v>
      </c>
      <c r="K102" s="1103">
        <f>VLOOKUP(J102,Mapping!E:F,2,FALSE)</f>
        <v>0</v>
      </c>
      <c r="L102" s="1099">
        <f>VLOOKUP($J102,Mapping!E:G,3,FALSE)</f>
        <v>0</v>
      </c>
      <c r="M102" s="1098" t="s">
        <v>1691</v>
      </c>
      <c r="O102" s="277"/>
      <c r="P102" s="278"/>
    </row>
    <row r="103" spans="1:16" ht="13.95" customHeight="1" thickBot="1" x14ac:dyDescent="0.3">
      <c r="A103" s="169"/>
      <c r="B103" s="273"/>
      <c r="C103" s="378"/>
      <c r="D103" s="470" t="s">
        <v>113</v>
      </c>
      <c r="E103" s="472"/>
      <c r="F103" s="478"/>
      <c r="J103" s="381" t="s">
        <v>1052</v>
      </c>
      <c r="K103" s="1103">
        <f>VLOOKUP(J103,Mapping!E:F,2,FALSE)</f>
        <v>0</v>
      </c>
      <c r="L103" s="1099">
        <f>VLOOKUP($J103,Mapping!E:G,3,FALSE)</f>
        <v>0</v>
      </c>
      <c r="M103" s="1098" t="s">
        <v>1691</v>
      </c>
      <c r="O103" s="277"/>
      <c r="P103" s="278"/>
    </row>
    <row r="104" spans="1:16" ht="13.95" customHeight="1" thickBot="1" x14ac:dyDescent="0.3">
      <c r="A104" s="169"/>
      <c r="B104" s="273"/>
      <c r="C104" s="378"/>
      <c r="D104" s="470" t="s">
        <v>115</v>
      </c>
      <c r="E104" s="472"/>
      <c r="F104" s="478"/>
      <c r="J104" s="381" t="s">
        <v>1053</v>
      </c>
      <c r="K104" s="1103">
        <f>VLOOKUP(J104,Mapping!E:F,2,FALSE)</f>
        <v>0</v>
      </c>
      <c r="L104" s="1099">
        <f>VLOOKUP($J104,Mapping!E:G,3,FALSE)</f>
        <v>0</v>
      </c>
      <c r="M104" s="1098" t="s">
        <v>1700</v>
      </c>
      <c r="O104" s="277"/>
      <c r="P104" s="278"/>
    </row>
    <row r="105" spans="1:16" ht="13.95" customHeight="1" thickBot="1" x14ac:dyDescent="0.3">
      <c r="A105" s="169"/>
      <c r="B105" s="273"/>
      <c r="C105" s="378"/>
      <c r="D105" s="470" t="s">
        <v>117</v>
      </c>
      <c r="E105" s="472"/>
      <c r="F105" s="478"/>
      <c r="J105" s="381" t="s">
        <v>1054</v>
      </c>
      <c r="K105" s="1103">
        <f>VLOOKUP(J105,Mapping!E:F,2,FALSE)</f>
        <v>0</v>
      </c>
      <c r="L105" s="1099">
        <f>VLOOKUP($J105,Mapping!E:G,3,FALSE)</f>
        <v>0</v>
      </c>
      <c r="M105" s="1098" t="s">
        <v>1700</v>
      </c>
      <c r="O105" s="277"/>
      <c r="P105" s="278"/>
    </row>
    <row r="106" spans="1:16" ht="13.95" customHeight="1" thickBot="1" x14ac:dyDescent="0.3">
      <c r="A106" s="169"/>
      <c r="B106" s="273"/>
      <c r="C106" s="378"/>
      <c r="D106" s="470" t="s">
        <v>119</v>
      </c>
      <c r="E106" s="472"/>
      <c r="F106" s="478"/>
      <c r="J106" s="381" t="s">
        <v>1055</v>
      </c>
      <c r="K106" s="1103">
        <f>VLOOKUP(J106,Mapping!E:F,2,FALSE)</f>
        <v>0</v>
      </c>
      <c r="L106" s="1099">
        <f>VLOOKUP($J106,Mapping!E:G,3,FALSE)</f>
        <v>0</v>
      </c>
      <c r="M106" s="1098" t="s">
        <v>1699</v>
      </c>
      <c r="O106" s="277"/>
      <c r="P106" s="278"/>
    </row>
    <row r="107" spans="1:16" ht="13.95" customHeight="1" thickBot="1" x14ac:dyDescent="0.3">
      <c r="A107" s="169"/>
      <c r="B107" s="273"/>
      <c r="C107" s="378"/>
      <c r="D107" s="470" t="s">
        <v>120</v>
      </c>
      <c r="E107" s="472"/>
      <c r="F107" s="478"/>
      <c r="J107" s="381" t="s">
        <v>1056</v>
      </c>
      <c r="K107" s="1103">
        <f>VLOOKUP(J107,Mapping!E:F,2,FALSE)</f>
        <v>0</v>
      </c>
      <c r="L107" s="1099">
        <f>VLOOKUP($J107,Mapping!E:G,3,FALSE)</f>
        <v>0</v>
      </c>
      <c r="M107" s="1098" t="s">
        <v>1700</v>
      </c>
      <c r="O107" s="277"/>
      <c r="P107" s="278"/>
    </row>
    <row r="108" spans="1:16" ht="13.95" customHeight="1" thickBot="1" x14ac:dyDescent="0.3">
      <c r="A108" s="169"/>
      <c r="B108" s="273"/>
      <c r="C108" s="378"/>
      <c r="D108" s="470" t="s">
        <v>122</v>
      </c>
      <c r="E108" s="472"/>
      <c r="F108" s="478"/>
      <c r="J108" s="381" t="s">
        <v>1057</v>
      </c>
      <c r="K108" s="1103">
        <f>VLOOKUP(J108,Mapping!E:F,2,FALSE)</f>
        <v>0</v>
      </c>
      <c r="L108" s="1099">
        <f>VLOOKUP($J108,Mapping!E:G,3,FALSE)</f>
        <v>0</v>
      </c>
      <c r="M108" s="1098" t="s">
        <v>1700</v>
      </c>
      <c r="O108" s="277"/>
      <c r="P108" s="278"/>
    </row>
    <row r="109" spans="1:16" ht="13.95" customHeight="1" thickBot="1" x14ac:dyDescent="0.3">
      <c r="A109" s="169"/>
      <c r="B109" s="273"/>
      <c r="C109" s="378"/>
      <c r="D109" s="470" t="s">
        <v>125</v>
      </c>
      <c r="E109" s="472"/>
      <c r="F109" s="478"/>
      <c r="J109" s="381" t="s">
        <v>1058</v>
      </c>
      <c r="K109" s="1103">
        <f>VLOOKUP(J109,Mapping!E:F,2,FALSE)</f>
        <v>0</v>
      </c>
      <c r="L109" s="1099">
        <f>VLOOKUP($J109,Mapping!E:G,3,FALSE)</f>
        <v>0</v>
      </c>
      <c r="M109" s="1098" t="s">
        <v>1699</v>
      </c>
      <c r="O109" s="277"/>
      <c r="P109" s="278"/>
    </row>
    <row r="110" spans="1:16" ht="13.95" customHeight="1" thickBot="1" x14ac:dyDescent="0.3">
      <c r="A110" s="169"/>
      <c r="B110" s="273"/>
      <c r="C110" s="378"/>
      <c r="D110" s="470" t="s">
        <v>128</v>
      </c>
      <c r="E110" s="472"/>
      <c r="F110" s="478"/>
      <c r="J110" s="381" t="s">
        <v>345</v>
      </c>
      <c r="K110" s="1103">
        <f>VLOOKUP(J110,Mapping!E:F,2,FALSE)</f>
        <v>0</v>
      </c>
      <c r="L110" s="1099">
        <f>VLOOKUP($J110,Mapping!E:G,3,FALSE)</f>
        <v>0</v>
      </c>
      <c r="M110" s="1098" t="s">
        <v>1700</v>
      </c>
      <c r="O110" s="277"/>
      <c r="P110" s="278"/>
    </row>
    <row r="111" spans="1:16" ht="13.95" customHeight="1" thickBot="1" x14ac:dyDescent="0.3">
      <c r="A111" s="169"/>
      <c r="B111" s="273"/>
      <c r="C111" s="378"/>
      <c r="D111" s="470" t="s">
        <v>131</v>
      </c>
      <c r="E111" s="472"/>
      <c r="F111" s="478"/>
      <c r="J111" s="381" t="s">
        <v>346</v>
      </c>
      <c r="K111" s="1103">
        <f>VLOOKUP(J111,Mapping!E:F,2,FALSE)</f>
        <v>0</v>
      </c>
      <c r="L111" s="1099">
        <f>VLOOKUP($J111,Mapping!E:G,3,FALSE)</f>
        <v>0</v>
      </c>
      <c r="M111" s="1098" t="s">
        <v>1700</v>
      </c>
      <c r="O111" s="277"/>
      <c r="P111" s="278"/>
    </row>
    <row r="112" spans="1:16" ht="13.95" customHeight="1" thickBot="1" x14ac:dyDescent="0.3">
      <c r="A112" s="169"/>
      <c r="B112" s="273"/>
      <c r="C112" s="378"/>
      <c r="D112" s="470" t="s">
        <v>134</v>
      </c>
      <c r="E112" s="472"/>
      <c r="F112" s="478"/>
      <c r="J112" s="381" t="s">
        <v>347</v>
      </c>
      <c r="K112" s="1103">
        <f>VLOOKUP(J112,Mapping!E:F,2,FALSE)</f>
        <v>0</v>
      </c>
      <c r="L112" s="1099">
        <f>VLOOKUP($J112,Mapping!E:G,3,FALSE)</f>
        <v>0</v>
      </c>
      <c r="M112" s="1098" t="s">
        <v>1700</v>
      </c>
      <c r="O112" s="277"/>
      <c r="P112" s="278"/>
    </row>
    <row r="113" spans="1:16" ht="13.95" customHeight="1" thickBot="1" x14ac:dyDescent="0.3">
      <c r="A113" s="169"/>
      <c r="B113" s="273"/>
      <c r="C113" s="378"/>
      <c r="D113" s="470" t="s">
        <v>136</v>
      </c>
      <c r="E113" s="472"/>
      <c r="F113" s="478"/>
      <c r="J113" s="381" t="s">
        <v>348</v>
      </c>
      <c r="K113" s="1103">
        <f>VLOOKUP(J113,Mapping!E:F,2,FALSE)</f>
        <v>0</v>
      </c>
      <c r="L113" s="1099">
        <f>VLOOKUP($J113,Mapping!E:G,3,FALSE)</f>
        <v>0</v>
      </c>
      <c r="M113" s="1098" t="s">
        <v>1700</v>
      </c>
      <c r="O113" s="277"/>
      <c r="P113" s="278"/>
    </row>
    <row r="114" spans="1:16" ht="13.95" customHeight="1" thickBot="1" x14ac:dyDescent="0.3">
      <c r="A114" s="169"/>
      <c r="B114" s="273"/>
      <c r="C114" s="378"/>
      <c r="D114" s="470" t="s">
        <v>139</v>
      </c>
      <c r="E114" s="472"/>
      <c r="F114" s="478"/>
      <c r="J114" s="381" t="s">
        <v>349</v>
      </c>
      <c r="K114" s="1103">
        <f>VLOOKUP(J114,Mapping!E:F,2,FALSE)</f>
        <v>0</v>
      </c>
      <c r="L114" s="1099">
        <f>VLOOKUP($J114,Mapping!E:G,3,FALSE)</f>
        <v>0</v>
      </c>
      <c r="M114" s="1098" t="s">
        <v>1700</v>
      </c>
      <c r="O114" s="277"/>
      <c r="P114" s="278"/>
    </row>
    <row r="115" spans="1:16" ht="13.95" customHeight="1" thickBot="1" x14ac:dyDescent="0.3">
      <c r="A115" s="169"/>
      <c r="B115" s="273"/>
      <c r="C115" s="378"/>
      <c r="D115" s="470" t="s">
        <v>142</v>
      </c>
      <c r="E115" s="472"/>
      <c r="F115" s="478"/>
      <c r="J115" s="381" t="s">
        <v>350</v>
      </c>
      <c r="K115" s="1103">
        <f>VLOOKUP(J115,Mapping!E:F,2,FALSE)</f>
        <v>0</v>
      </c>
      <c r="L115" s="1099">
        <f>VLOOKUP($J115,Mapping!E:G,3,FALSE)</f>
        <v>0</v>
      </c>
      <c r="M115" s="1098" t="s">
        <v>1699</v>
      </c>
      <c r="O115" s="277"/>
      <c r="P115" s="278"/>
    </row>
    <row r="116" spans="1:16" ht="13.95" customHeight="1" thickBot="1" x14ac:dyDescent="0.3">
      <c r="A116" s="169"/>
      <c r="B116" s="273"/>
      <c r="C116" s="378"/>
      <c r="D116" s="470" t="s">
        <v>145</v>
      </c>
      <c r="E116" s="472"/>
      <c r="F116" s="478"/>
      <c r="J116" s="381" t="s">
        <v>351</v>
      </c>
      <c r="K116" s="1103">
        <f>VLOOKUP(J116,Mapping!E:F,2,FALSE)</f>
        <v>0</v>
      </c>
      <c r="L116" s="1099">
        <f>VLOOKUP($J116,Mapping!E:G,3,FALSE)</f>
        <v>0</v>
      </c>
      <c r="M116" s="1098" t="s">
        <v>1700</v>
      </c>
      <c r="O116" s="277"/>
      <c r="P116" s="278"/>
    </row>
    <row r="117" spans="1:16" ht="13.95" customHeight="1" thickBot="1" x14ac:dyDescent="0.3">
      <c r="A117" s="169"/>
      <c r="B117" s="273"/>
      <c r="C117" s="378"/>
      <c r="D117" s="470" t="s">
        <v>148</v>
      </c>
      <c r="E117" s="472"/>
      <c r="F117" s="478"/>
      <c r="J117" s="381" t="s">
        <v>352</v>
      </c>
      <c r="K117" s="1103">
        <f>VLOOKUP(J117,Mapping!E:F,2,FALSE)</f>
        <v>0</v>
      </c>
      <c r="L117" s="1099">
        <f>VLOOKUP($J117,Mapping!E:G,3,FALSE)</f>
        <v>0</v>
      </c>
      <c r="M117" s="1098" t="s">
        <v>1700</v>
      </c>
      <c r="O117" s="277"/>
      <c r="P117" s="278"/>
    </row>
    <row r="118" spans="1:16" ht="13.95" customHeight="1" thickBot="1" x14ac:dyDescent="0.3">
      <c r="A118" s="169"/>
      <c r="B118" s="273"/>
      <c r="C118" s="378"/>
      <c r="D118" s="470" t="s">
        <v>150</v>
      </c>
      <c r="E118" s="472"/>
      <c r="F118" s="478"/>
      <c r="J118" s="381" t="s">
        <v>353</v>
      </c>
      <c r="K118" s="1103">
        <f>VLOOKUP(J118,Mapping!E:F,2,FALSE)</f>
        <v>0</v>
      </c>
      <c r="L118" s="1099">
        <f>VLOOKUP($J118,Mapping!E:G,3,FALSE)</f>
        <v>0</v>
      </c>
      <c r="M118" s="1098" t="s">
        <v>1700</v>
      </c>
      <c r="O118" s="277"/>
      <c r="P118" s="278"/>
    </row>
    <row r="119" spans="1:16" ht="13.95" customHeight="1" thickBot="1" x14ac:dyDescent="0.3">
      <c r="A119" s="169"/>
      <c r="B119" s="273"/>
      <c r="C119" s="378"/>
      <c r="D119" s="470" t="s">
        <v>152</v>
      </c>
      <c r="E119" s="472"/>
      <c r="F119" s="478"/>
      <c r="J119" s="381" t="s">
        <v>1078</v>
      </c>
      <c r="K119" s="1103">
        <f>VLOOKUP(J119,Mapping!E:F,2,FALSE)</f>
        <v>0</v>
      </c>
      <c r="L119" s="1099">
        <f>VLOOKUP($J119,Mapping!E:G,3,FALSE)</f>
        <v>0</v>
      </c>
      <c r="M119" s="1098" t="s">
        <v>1691</v>
      </c>
      <c r="O119" s="277"/>
      <c r="P119" s="278"/>
    </row>
    <row r="120" spans="1:16" ht="13.95" customHeight="1" thickBot="1" x14ac:dyDescent="0.3">
      <c r="A120" s="169"/>
      <c r="B120" s="273"/>
      <c r="C120" s="378"/>
      <c r="D120" s="470" t="s">
        <v>155</v>
      </c>
      <c r="E120" s="472"/>
      <c r="F120" s="478"/>
      <c r="J120" s="381" t="s">
        <v>354</v>
      </c>
      <c r="K120" s="1103">
        <f>VLOOKUP(J120,Mapping!E:F,2,FALSE)</f>
        <v>0</v>
      </c>
      <c r="L120" s="1099">
        <f>VLOOKUP($J120,Mapping!E:G,3,FALSE)</f>
        <v>0</v>
      </c>
      <c r="M120" s="1098" t="s">
        <v>1700</v>
      </c>
      <c r="O120" s="277"/>
      <c r="P120" s="278"/>
    </row>
    <row r="121" spans="1:16" ht="13.95" customHeight="1" thickBot="1" x14ac:dyDescent="0.3">
      <c r="A121" s="169"/>
      <c r="B121" s="273"/>
      <c r="C121" s="378"/>
      <c r="D121" s="470" t="s">
        <v>158</v>
      </c>
      <c r="E121" s="472"/>
      <c r="F121" s="478"/>
      <c r="J121" s="381" t="s">
        <v>355</v>
      </c>
      <c r="K121" s="1103">
        <f>VLOOKUP(J121,Mapping!E:F,2,FALSE)</f>
        <v>0</v>
      </c>
      <c r="L121" s="1099">
        <f>VLOOKUP($J121,Mapping!E:G,3,FALSE)</f>
        <v>0</v>
      </c>
      <c r="M121" s="1098" t="s">
        <v>1700</v>
      </c>
      <c r="O121" s="277"/>
      <c r="P121" s="278"/>
    </row>
    <row r="122" spans="1:16" ht="13.95" customHeight="1" thickBot="1" x14ac:dyDescent="0.3">
      <c r="A122" s="169"/>
      <c r="B122" s="273"/>
      <c r="C122" s="378"/>
      <c r="D122" s="470" t="s">
        <v>160</v>
      </c>
      <c r="E122" s="472"/>
      <c r="F122" s="478"/>
      <c r="J122" s="381" t="s">
        <v>356</v>
      </c>
      <c r="K122" s="1103">
        <f>VLOOKUP(J122,Mapping!E:F,2,FALSE)</f>
        <v>0</v>
      </c>
      <c r="L122" s="1099">
        <f>VLOOKUP($J122,Mapping!E:G,3,FALSE)</f>
        <v>0</v>
      </c>
      <c r="M122" s="1098" t="s">
        <v>1699</v>
      </c>
      <c r="O122" s="277"/>
      <c r="P122" s="278"/>
    </row>
    <row r="123" spans="1:16" ht="13.95" customHeight="1" thickBot="1" x14ac:dyDescent="0.3">
      <c r="A123" s="169"/>
      <c r="B123" s="273"/>
      <c r="C123" s="378"/>
      <c r="D123" s="470" t="s">
        <v>161</v>
      </c>
      <c r="E123" s="472"/>
      <c r="F123" s="478"/>
      <c r="J123" s="381" t="s">
        <v>1079</v>
      </c>
      <c r="K123" s="1103">
        <f>VLOOKUP(J123,Mapping!E:F,2,FALSE)</f>
        <v>0</v>
      </c>
      <c r="L123" s="1099">
        <f>VLOOKUP($J123,Mapping!E:G,3,FALSE)</f>
        <v>0</v>
      </c>
      <c r="M123" s="1098" t="s">
        <v>1691</v>
      </c>
      <c r="O123" s="277"/>
      <c r="P123" s="278"/>
    </row>
    <row r="124" spans="1:16" ht="13.95" customHeight="1" thickBot="1" x14ac:dyDescent="0.3">
      <c r="A124" s="169"/>
      <c r="B124" s="273"/>
      <c r="C124" s="378"/>
      <c r="D124" s="470" t="s">
        <v>162</v>
      </c>
      <c r="E124" s="472"/>
      <c r="F124" s="478"/>
      <c r="J124" s="381" t="s">
        <v>1080</v>
      </c>
      <c r="K124" s="1103">
        <f>VLOOKUP(J124,Mapping!E:F,2,FALSE)</f>
        <v>0</v>
      </c>
      <c r="L124" s="1099">
        <f>VLOOKUP($J124,Mapping!E:G,3,FALSE)</f>
        <v>0</v>
      </c>
      <c r="M124" s="1098" t="s">
        <v>1691</v>
      </c>
      <c r="O124" s="277"/>
      <c r="P124" s="278"/>
    </row>
    <row r="125" spans="1:16" ht="13.95" customHeight="1" thickBot="1" x14ac:dyDescent="0.3">
      <c r="A125" s="169"/>
      <c r="B125" s="273"/>
      <c r="C125" s="378"/>
      <c r="D125" s="470" t="s">
        <v>163</v>
      </c>
      <c r="E125" s="472"/>
      <c r="F125" s="478"/>
      <c r="J125" s="381" t="s">
        <v>1081</v>
      </c>
      <c r="K125" s="1103">
        <f>VLOOKUP(J125,Mapping!E:F,2,FALSE)</f>
        <v>0</v>
      </c>
      <c r="L125" s="1099">
        <f>VLOOKUP($J125,Mapping!E:G,3,FALSE)</f>
        <v>0</v>
      </c>
      <c r="M125" s="1098" t="s">
        <v>1691</v>
      </c>
      <c r="O125" s="277"/>
      <c r="P125" s="278"/>
    </row>
    <row r="126" spans="1:16" ht="13.95" customHeight="1" thickBot="1" x14ac:dyDescent="0.3">
      <c r="A126" s="169"/>
      <c r="B126" s="273"/>
      <c r="C126" s="378"/>
      <c r="D126" s="470" t="s">
        <v>164</v>
      </c>
      <c r="E126" s="472"/>
      <c r="F126" s="478"/>
      <c r="J126" s="381" t="s">
        <v>1082</v>
      </c>
      <c r="K126" s="1103">
        <f>VLOOKUP(J126,Mapping!E:F,2,FALSE)</f>
        <v>0</v>
      </c>
      <c r="L126" s="1099">
        <f>VLOOKUP($J126,Mapping!E:G,3,FALSE)</f>
        <v>0</v>
      </c>
      <c r="M126" s="1098" t="s">
        <v>1700</v>
      </c>
      <c r="O126" s="277"/>
      <c r="P126" s="278"/>
    </row>
    <row r="127" spans="1:16" ht="13.95" customHeight="1" thickBot="1" x14ac:dyDescent="0.3">
      <c r="A127" s="169"/>
      <c r="B127" s="273"/>
      <c r="C127" s="378"/>
      <c r="D127" s="470" t="s">
        <v>165</v>
      </c>
      <c r="E127" s="472"/>
      <c r="F127" s="478"/>
      <c r="J127" s="381" t="s">
        <v>1083</v>
      </c>
      <c r="K127" s="1103">
        <f>VLOOKUP(J127,Mapping!E:F,2,FALSE)</f>
        <v>0</v>
      </c>
      <c r="L127" s="1099">
        <f>VLOOKUP($J127,Mapping!E:G,3,FALSE)</f>
        <v>0</v>
      </c>
      <c r="M127" s="1098" t="s">
        <v>1691</v>
      </c>
      <c r="O127" s="277"/>
      <c r="P127" s="278"/>
    </row>
    <row r="128" spans="1:16" ht="13.95" customHeight="1" thickBot="1" x14ac:dyDescent="0.3">
      <c r="A128" s="169"/>
      <c r="B128" s="273"/>
      <c r="C128" s="378"/>
      <c r="D128" s="470" t="s">
        <v>166</v>
      </c>
      <c r="E128" s="472"/>
      <c r="F128" s="478"/>
      <c r="J128" s="381" t="s">
        <v>1084</v>
      </c>
      <c r="K128" s="1103">
        <f>VLOOKUP(J128,Mapping!E:F,2,FALSE)</f>
        <v>0</v>
      </c>
      <c r="L128" s="1099">
        <f>VLOOKUP($J128,Mapping!E:G,3,FALSE)</f>
        <v>0</v>
      </c>
      <c r="M128" s="1098" t="s">
        <v>1691</v>
      </c>
      <c r="O128" s="277"/>
      <c r="P128" s="278"/>
    </row>
    <row r="129" spans="1:16" ht="13.95" customHeight="1" thickBot="1" x14ac:dyDescent="0.3">
      <c r="A129" s="169"/>
      <c r="B129" s="273"/>
      <c r="C129" s="378"/>
      <c r="D129" s="470" t="s">
        <v>167</v>
      </c>
      <c r="E129" s="472"/>
      <c r="F129" s="478"/>
      <c r="J129" s="381" t="s">
        <v>1085</v>
      </c>
      <c r="K129" s="1103">
        <f>VLOOKUP(J129,Mapping!E:F,2,FALSE)</f>
        <v>0</v>
      </c>
      <c r="L129" s="1099">
        <f>VLOOKUP($J129,Mapping!E:G,3,FALSE)</f>
        <v>0</v>
      </c>
      <c r="M129" s="1098" t="s">
        <v>1691</v>
      </c>
      <c r="O129" s="277"/>
      <c r="P129" s="278"/>
    </row>
    <row r="130" spans="1:16" ht="13.95" customHeight="1" thickBot="1" x14ac:dyDescent="0.3">
      <c r="A130" s="169"/>
      <c r="B130" s="273"/>
      <c r="C130" s="378"/>
      <c r="D130" s="470" t="s">
        <v>168</v>
      </c>
      <c r="E130" s="472"/>
      <c r="F130" s="478"/>
      <c r="J130" s="381" t="s">
        <v>1086</v>
      </c>
      <c r="K130" s="1103">
        <f>VLOOKUP(J130,Mapping!E:F,2,FALSE)</f>
        <v>0</v>
      </c>
      <c r="L130" s="1099">
        <f>VLOOKUP($J130,Mapping!E:G,3,FALSE)</f>
        <v>0</v>
      </c>
      <c r="M130" s="1098" t="s">
        <v>1691</v>
      </c>
      <c r="O130" s="277"/>
      <c r="P130" s="278"/>
    </row>
    <row r="131" spans="1:16" ht="13.95" customHeight="1" thickBot="1" x14ac:dyDescent="0.3">
      <c r="A131" s="169"/>
      <c r="B131" s="273"/>
      <c r="C131" s="378"/>
      <c r="D131" s="470" t="s">
        <v>169</v>
      </c>
      <c r="E131" s="472"/>
      <c r="F131" s="478"/>
      <c r="J131" s="381" t="s">
        <v>1087</v>
      </c>
      <c r="K131" s="1103">
        <f>VLOOKUP(J131,Mapping!E:F,2,FALSE)</f>
        <v>0</v>
      </c>
      <c r="L131" s="1099">
        <f>VLOOKUP($J131,Mapping!E:G,3,FALSE)</f>
        <v>0</v>
      </c>
      <c r="M131" s="1098" t="s">
        <v>1691</v>
      </c>
      <c r="O131" s="277"/>
      <c r="P131" s="278"/>
    </row>
    <row r="132" spans="1:16" ht="13.95" customHeight="1" thickBot="1" x14ac:dyDescent="0.3">
      <c r="A132" s="169"/>
      <c r="B132" s="273"/>
      <c r="C132" s="378"/>
      <c r="D132" s="470" t="s">
        <v>170</v>
      </c>
      <c r="E132" s="472"/>
      <c r="F132" s="478"/>
      <c r="J132" s="381" t="s">
        <v>357</v>
      </c>
      <c r="K132" s="1103">
        <f>VLOOKUP(J132,Mapping!E:F,2,FALSE)</f>
        <v>0</v>
      </c>
      <c r="L132" s="1099">
        <f>VLOOKUP($J132,Mapping!E:G,3,FALSE)</f>
        <v>0</v>
      </c>
      <c r="M132" s="1098" t="s">
        <v>1691</v>
      </c>
      <c r="O132" s="277"/>
      <c r="P132" s="278"/>
    </row>
    <row r="133" spans="1:16" ht="13.95" customHeight="1" thickBot="1" x14ac:dyDescent="0.3">
      <c r="A133" s="169"/>
      <c r="B133" s="273"/>
      <c r="C133" s="378"/>
      <c r="D133" s="470" t="s">
        <v>171</v>
      </c>
      <c r="E133" s="472"/>
      <c r="F133" s="478"/>
      <c r="J133" s="381" t="s">
        <v>358</v>
      </c>
      <c r="K133" s="1103">
        <f>VLOOKUP(J133,Mapping!E:F,2,FALSE)</f>
        <v>0</v>
      </c>
      <c r="L133" s="1099">
        <f>VLOOKUP($J133,Mapping!E:G,3,FALSE)</f>
        <v>0</v>
      </c>
      <c r="M133" s="1098" t="s">
        <v>1691</v>
      </c>
      <c r="O133" s="277"/>
      <c r="P133" s="278"/>
    </row>
    <row r="134" spans="1:16" ht="13.95" customHeight="1" thickBot="1" x14ac:dyDescent="0.3">
      <c r="A134" s="169"/>
      <c r="B134" s="273"/>
      <c r="C134" s="378"/>
      <c r="D134" s="470" t="s">
        <v>172</v>
      </c>
      <c r="E134" s="472"/>
      <c r="F134" s="478"/>
      <c r="J134" s="381" t="s">
        <v>359</v>
      </c>
      <c r="K134" s="1103">
        <f>VLOOKUP(J134,Mapping!E:F,2,FALSE)</f>
        <v>0</v>
      </c>
      <c r="L134" s="1099">
        <f>VLOOKUP($J134,Mapping!E:G,3,FALSE)</f>
        <v>0</v>
      </c>
      <c r="M134" s="1098" t="s">
        <v>1699</v>
      </c>
      <c r="O134" s="277"/>
      <c r="P134" s="278"/>
    </row>
    <row r="135" spans="1:16" ht="13.95" customHeight="1" thickBot="1" x14ac:dyDescent="0.3">
      <c r="A135" s="169"/>
      <c r="B135" s="273"/>
      <c r="C135" s="378"/>
      <c r="D135" s="470" t="s">
        <v>174</v>
      </c>
      <c r="E135" s="472"/>
      <c r="F135" s="478"/>
      <c r="J135" s="381" t="s">
        <v>360</v>
      </c>
      <c r="K135" s="1103">
        <f>VLOOKUP(J135,Mapping!E:F,2,FALSE)</f>
        <v>0</v>
      </c>
      <c r="L135" s="1099">
        <f>VLOOKUP($J135,Mapping!E:G,3,FALSE)</f>
        <v>0</v>
      </c>
      <c r="M135" s="1098" t="s">
        <v>1699</v>
      </c>
      <c r="O135" s="277"/>
      <c r="P135" s="278"/>
    </row>
    <row r="136" spans="1:16" ht="13.95" customHeight="1" thickBot="1" x14ac:dyDescent="0.3">
      <c r="A136" s="169"/>
      <c r="B136" s="273"/>
      <c r="C136" s="378"/>
      <c r="D136" s="470" t="s">
        <v>176</v>
      </c>
      <c r="E136" s="472"/>
      <c r="F136" s="478"/>
      <c r="J136" s="381" t="s">
        <v>1088</v>
      </c>
      <c r="K136" s="1103">
        <f>VLOOKUP(J136,Mapping!E:F,2,FALSE)</f>
        <v>0</v>
      </c>
      <c r="L136" s="1099">
        <f>VLOOKUP($J136,Mapping!E:G,3,FALSE)</f>
        <v>0</v>
      </c>
      <c r="M136" s="1098" t="s">
        <v>1691</v>
      </c>
      <c r="O136" s="277"/>
      <c r="P136" s="278"/>
    </row>
    <row r="137" spans="1:16" ht="13.95" customHeight="1" thickBot="1" x14ac:dyDescent="0.3">
      <c r="A137" s="169"/>
      <c r="B137" s="273"/>
      <c r="C137" s="378"/>
      <c r="D137" s="470" t="s">
        <v>177</v>
      </c>
      <c r="E137" s="472"/>
      <c r="F137" s="478"/>
      <c r="J137" s="381" t="s">
        <v>1089</v>
      </c>
      <c r="K137" s="1103">
        <f>VLOOKUP(J137,Mapping!E:F,2,FALSE)</f>
        <v>0</v>
      </c>
      <c r="L137" s="1099">
        <f>VLOOKUP($J137,Mapping!E:G,3,FALSE)</f>
        <v>0</v>
      </c>
      <c r="M137" s="1098" t="s">
        <v>1691</v>
      </c>
      <c r="O137" s="277"/>
      <c r="P137" s="278"/>
    </row>
    <row r="138" spans="1:16" ht="13.95" customHeight="1" thickBot="1" x14ac:dyDescent="0.3">
      <c r="A138" s="169"/>
      <c r="B138" s="273"/>
      <c r="C138" s="378"/>
      <c r="D138" s="470" t="s">
        <v>178</v>
      </c>
      <c r="E138" s="472"/>
      <c r="F138" s="478"/>
      <c r="J138" s="381" t="s">
        <v>1090</v>
      </c>
      <c r="K138" s="1103">
        <f>VLOOKUP(J138,Mapping!E:F,2,FALSE)</f>
        <v>0</v>
      </c>
      <c r="L138" s="1099">
        <f>VLOOKUP($J138,Mapping!E:G,3,FALSE)</f>
        <v>0</v>
      </c>
      <c r="M138" s="1098" t="s">
        <v>1691</v>
      </c>
      <c r="O138" s="277"/>
      <c r="P138" s="278"/>
    </row>
    <row r="139" spans="1:16" ht="13.95" customHeight="1" thickBot="1" x14ac:dyDescent="0.3">
      <c r="A139" s="169"/>
      <c r="B139" s="273"/>
      <c r="C139" s="378"/>
      <c r="D139" s="470" t="s">
        <v>179</v>
      </c>
      <c r="E139" s="472"/>
      <c r="F139" s="478"/>
      <c r="J139" s="381" t="s">
        <v>1091</v>
      </c>
      <c r="K139" s="1103">
        <f>VLOOKUP(J139,Mapping!E:F,2,FALSE)</f>
        <v>0</v>
      </c>
      <c r="L139" s="1099">
        <f>VLOOKUP($J139,Mapping!E:G,3,FALSE)</f>
        <v>0</v>
      </c>
      <c r="M139" s="1098" t="s">
        <v>1691</v>
      </c>
      <c r="O139" s="277"/>
      <c r="P139" s="278"/>
    </row>
    <row r="140" spans="1:16" ht="13.95" customHeight="1" thickBot="1" x14ac:dyDescent="0.3">
      <c r="A140" s="169"/>
      <c r="B140" s="273"/>
      <c r="C140" s="378"/>
      <c r="D140" s="470" t="s">
        <v>180</v>
      </c>
      <c r="E140" s="472"/>
      <c r="F140" s="478"/>
      <c r="J140" s="381" t="s">
        <v>1092</v>
      </c>
      <c r="K140" s="1103">
        <f>VLOOKUP(J140,Mapping!E:F,2,FALSE)</f>
        <v>0</v>
      </c>
      <c r="L140" s="1099">
        <f>VLOOKUP($J140,Mapping!E:G,3,FALSE)</f>
        <v>0</v>
      </c>
      <c r="M140" s="1098" t="s">
        <v>1691</v>
      </c>
      <c r="O140" s="277"/>
      <c r="P140" s="278"/>
    </row>
    <row r="141" spans="1:16" ht="13.95" customHeight="1" thickBot="1" x14ac:dyDescent="0.3">
      <c r="A141" s="169"/>
      <c r="B141" s="273"/>
      <c r="C141" s="378"/>
      <c r="D141" s="470" t="s">
        <v>181</v>
      </c>
      <c r="E141" s="472"/>
      <c r="F141" s="478"/>
      <c r="J141" s="381" t="s">
        <v>1093</v>
      </c>
      <c r="K141" s="1103">
        <f>VLOOKUP(J141,Mapping!E:F,2,FALSE)</f>
        <v>0</v>
      </c>
      <c r="L141" s="1099">
        <f>VLOOKUP($J141,Mapping!E:G,3,FALSE)</f>
        <v>0</v>
      </c>
      <c r="M141" s="1098" t="s">
        <v>1691</v>
      </c>
      <c r="O141" s="277"/>
      <c r="P141" s="278"/>
    </row>
    <row r="142" spans="1:16" ht="13.95" customHeight="1" thickBot="1" x14ac:dyDescent="0.3">
      <c r="A142" s="169"/>
      <c r="B142" s="273"/>
      <c r="C142" s="378"/>
      <c r="D142" s="470" t="s">
        <v>182</v>
      </c>
      <c r="E142" s="472"/>
      <c r="F142" s="478"/>
      <c r="J142" s="381" t="s">
        <v>361</v>
      </c>
      <c r="K142" s="1103">
        <f>VLOOKUP(J142,Mapping!E:F,2,FALSE)</f>
        <v>0</v>
      </c>
      <c r="L142" s="1099">
        <f>VLOOKUP($J142,Mapping!E:G,3,FALSE)</f>
        <v>0</v>
      </c>
      <c r="M142" s="1098" t="s">
        <v>1700</v>
      </c>
      <c r="O142" s="277"/>
      <c r="P142" s="278"/>
    </row>
    <row r="143" spans="1:16" ht="13.95" customHeight="1" thickBot="1" x14ac:dyDescent="0.3">
      <c r="A143" s="169"/>
      <c r="B143" s="273"/>
      <c r="C143" s="378"/>
      <c r="D143" s="470" t="s">
        <v>183</v>
      </c>
      <c r="E143" s="472"/>
      <c r="F143" s="478"/>
      <c r="J143" s="381" t="s">
        <v>362</v>
      </c>
      <c r="K143" s="1103">
        <f>VLOOKUP(J143,Mapping!E:F,2,FALSE)</f>
        <v>0</v>
      </c>
      <c r="L143" s="1099">
        <f>VLOOKUP($J143,Mapping!E:G,3,FALSE)</f>
        <v>0</v>
      </c>
      <c r="M143" s="1098" t="s">
        <v>1700</v>
      </c>
      <c r="O143" s="277"/>
      <c r="P143" s="278"/>
    </row>
    <row r="144" spans="1:16" ht="13.95" customHeight="1" thickBot="1" x14ac:dyDescent="0.3">
      <c r="A144" s="169"/>
      <c r="B144" s="273"/>
      <c r="C144" s="378"/>
      <c r="D144" s="470" t="s">
        <v>184</v>
      </c>
      <c r="E144" s="472"/>
      <c r="F144" s="478"/>
      <c r="J144" s="381" t="s">
        <v>363</v>
      </c>
      <c r="K144" s="1103">
        <f>VLOOKUP(J144,Mapping!E:F,2,FALSE)</f>
        <v>0</v>
      </c>
      <c r="L144" s="1099">
        <f>VLOOKUP($J144,Mapping!E:G,3,FALSE)</f>
        <v>0</v>
      </c>
      <c r="M144" s="1098" t="s">
        <v>1691</v>
      </c>
      <c r="O144" s="277"/>
      <c r="P144" s="278"/>
    </row>
    <row r="145" spans="1:16" ht="13.95" customHeight="1" thickBot="1" x14ac:dyDescent="0.3">
      <c r="A145" s="169"/>
      <c r="B145" s="273"/>
      <c r="C145" s="378"/>
      <c r="D145" s="470" t="s">
        <v>185</v>
      </c>
      <c r="E145" s="472"/>
      <c r="F145" s="478"/>
      <c r="J145" s="381" t="s">
        <v>364</v>
      </c>
      <c r="K145" s="1103">
        <f>VLOOKUP(J145,Mapping!E:F,2,FALSE)</f>
        <v>0</v>
      </c>
      <c r="L145" s="1099">
        <f>VLOOKUP($J145,Mapping!E:G,3,FALSE)</f>
        <v>0</v>
      </c>
      <c r="M145" s="1098" t="s">
        <v>1691</v>
      </c>
      <c r="O145" s="277"/>
      <c r="P145" s="278"/>
    </row>
    <row r="146" spans="1:16" ht="13.95" customHeight="1" thickBot="1" x14ac:dyDescent="0.3">
      <c r="A146" s="169"/>
      <c r="B146" s="273"/>
      <c r="C146" s="378"/>
      <c r="D146" s="470" t="s">
        <v>186</v>
      </c>
      <c r="E146" s="472"/>
      <c r="F146" s="478"/>
      <c r="J146" s="381" t="s">
        <v>365</v>
      </c>
      <c r="K146" s="1103">
        <f>VLOOKUP(J146,Mapping!E:F,2,FALSE)</f>
        <v>0</v>
      </c>
      <c r="L146" s="1099">
        <f>VLOOKUP($J146,Mapping!E:G,3,FALSE)</f>
        <v>0</v>
      </c>
      <c r="M146" s="1098" t="s">
        <v>1691</v>
      </c>
      <c r="O146" s="277"/>
      <c r="P146" s="278"/>
    </row>
    <row r="147" spans="1:16" ht="13.95" customHeight="1" thickBot="1" x14ac:dyDescent="0.3">
      <c r="A147" s="169"/>
      <c r="B147" s="273"/>
      <c r="C147" s="378"/>
      <c r="D147" s="470" t="s">
        <v>187</v>
      </c>
      <c r="E147" s="472"/>
      <c r="F147" s="478"/>
      <c r="J147" s="381" t="s">
        <v>366</v>
      </c>
      <c r="K147" s="1103">
        <f>VLOOKUP(J147,Mapping!E:F,2,FALSE)</f>
        <v>0</v>
      </c>
      <c r="L147" s="1099">
        <f>VLOOKUP($J147,Mapping!E:G,3,FALSE)</f>
        <v>0</v>
      </c>
      <c r="M147" s="1098" t="s">
        <v>1700</v>
      </c>
      <c r="O147" s="277"/>
      <c r="P147" s="278"/>
    </row>
    <row r="148" spans="1:16" ht="13.95" customHeight="1" thickBot="1" x14ac:dyDescent="0.3">
      <c r="A148" s="169"/>
      <c r="B148" s="273"/>
      <c r="C148" s="378"/>
      <c r="D148" s="470" t="s">
        <v>188</v>
      </c>
      <c r="E148" s="472"/>
      <c r="F148" s="478"/>
      <c r="J148" s="381" t="s">
        <v>367</v>
      </c>
      <c r="K148" s="1103">
        <f>VLOOKUP(J148,Mapping!E:F,2,FALSE)</f>
        <v>0</v>
      </c>
      <c r="L148" s="1099">
        <f>VLOOKUP($J148,Mapping!E:G,3,FALSE)</f>
        <v>0</v>
      </c>
      <c r="M148" s="1098" t="s">
        <v>1691</v>
      </c>
      <c r="O148" s="277"/>
      <c r="P148" s="278"/>
    </row>
    <row r="149" spans="1:16" ht="13.95" customHeight="1" thickBot="1" x14ac:dyDescent="0.3">
      <c r="A149" s="169"/>
      <c r="B149" s="273"/>
      <c r="C149" s="378"/>
      <c r="D149" s="470" t="s">
        <v>189</v>
      </c>
      <c r="E149" s="472"/>
      <c r="F149" s="478"/>
      <c r="J149" s="381" t="s">
        <v>368</v>
      </c>
      <c r="K149" s="1103">
        <f>VLOOKUP(J149,Mapping!E:F,2,FALSE)</f>
        <v>0</v>
      </c>
      <c r="L149" s="1099">
        <f>VLOOKUP($J149,Mapping!E:G,3,FALSE)</f>
        <v>0</v>
      </c>
      <c r="M149" s="1098" t="s">
        <v>1700</v>
      </c>
      <c r="O149" s="277"/>
      <c r="P149" s="278"/>
    </row>
    <row r="150" spans="1:16" ht="13.95" customHeight="1" thickBot="1" x14ac:dyDescent="0.3">
      <c r="A150" s="169"/>
      <c r="B150" s="273"/>
      <c r="C150" s="378"/>
      <c r="D150" s="470" t="s">
        <v>190</v>
      </c>
      <c r="E150" s="472"/>
      <c r="F150" s="478"/>
      <c r="J150" s="381" t="s">
        <v>372</v>
      </c>
      <c r="K150" s="1103">
        <f>VLOOKUP(J150,Mapping!E:F,2,FALSE)</f>
        <v>0</v>
      </c>
      <c r="L150" s="1099">
        <f>VLOOKUP($J150,Mapping!E:G,3,FALSE)</f>
        <v>0</v>
      </c>
      <c r="M150" s="1098" t="s">
        <v>1700</v>
      </c>
      <c r="O150" s="277"/>
      <c r="P150" s="278"/>
    </row>
    <row r="151" spans="1:16" ht="13.95" customHeight="1" thickBot="1" x14ac:dyDescent="0.3">
      <c r="A151" s="169"/>
      <c r="B151" s="273"/>
      <c r="C151" s="378"/>
      <c r="D151" s="470" t="s">
        <v>191</v>
      </c>
      <c r="E151" s="472"/>
      <c r="F151" s="478"/>
      <c r="J151" s="381" t="s">
        <v>373</v>
      </c>
      <c r="K151" s="1103">
        <f>VLOOKUP(J151,Mapping!E:F,2,FALSE)</f>
        <v>0</v>
      </c>
      <c r="L151" s="1099">
        <f>VLOOKUP($J151,Mapping!E:G,3,FALSE)</f>
        <v>0</v>
      </c>
      <c r="M151" s="1098" t="s">
        <v>1700</v>
      </c>
      <c r="O151" s="277"/>
      <c r="P151" s="278"/>
    </row>
    <row r="152" spans="1:16" ht="13.95" customHeight="1" thickBot="1" x14ac:dyDescent="0.3">
      <c r="A152" s="169"/>
      <c r="B152" s="273"/>
      <c r="C152" s="378"/>
      <c r="D152" s="470" t="s">
        <v>192</v>
      </c>
      <c r="E152" s="472"/>
      <c r="F152" s="478"/>
      <c r="J152" s="381" t="s">
        <v>374</v>
      </c>
      <c r="K152" s="1103">
        <f>VLOOKUP(J152,Mapping!E:F,2,FALSE)</f>
        <v>0</v>
      </c>
      <c r="L152" s="1099">
        <f>VLOOKUP($J152,Mapping!E:G,3,FALSE)</f>
        <v>0</v>
      </c>
      <c r="M152" s="1098" t="s">
        <v>1700</v>
      </c>
      <c r="O152" s="277"/>
      <c r="P152" s="278"/>
    </row>
    <row r="153" spans="1:16" ht="13.95" customHeight="1" thickBot="1" x14ac:dyDescent="0.3">
      <c r="A153" s="169"/>
      <c r="B153" s="273"/>
      <c r="C153" s="378"/>
      <c r="D153" s="470" t="s">
        <v>193</v>
      </c>
      <c r="E153" s="472"/>
      <c r="F153" s="478"/>
      <c r="J153" s="381" t="s">
        <v>375</v>
      </c>
      <c r="K153" s="1103">
        <f>VLOOKUP(J153,Mapping!E:F,2,FALSE)</f>
        <v>0</v>
      </c>
      <c r="L153" s="1099">
        <f>VLOOKUP($J153,Mapping!E:G,3,FALSE)</f>
        <v>0</v>
      </c>
      <c r="M153" s="1098" t="s">
        <v>1700</v>
      </c>
      <c r="O153" s="277"/>
      <c r="P153" s="278"/>
    </row>
    <row r="154" spans="1:16" ht="13.95" customHeight="1" thickBot="1" x14ac:dyDescent="0.3">
      <c r="A154" s="169"/>
      <c r="B154" s="273"/>
      <c r="C154" s="378"/>
      <c r="D154" s="470" t="s">
        <v>195</v>
      </c>
      <c r="E154" s="472"/>
      <c r="F154" s="478"/>
      <c r="J154" s="381" t="s">
        <v>376</v>
      </c>
      <c r="K154" s="1103">
        <f>VLOOKUP(J154,Mapping!E:F,2,FALSE)</f>
        <v>0</v>
      </c>
      <c r="L154" s="1099">
        <f>VLOOKUP($J154,Mapping!E:G,3,FALSE)</f>
        <v>0</v>
      </c>
      <c r="M154" s="1098" t="s">
        <v>1700</v>
      </c>
      <c r="O154" s="277"/>
      <c r="P154" s="278"/>
    </row>
    <row r="155" spans="1:16" ht="13.95" customHeight="1" thickBot="1" x14ac:dyDescent="0.3">
      <c r="A155" s="169"/>
      <c r="B155" s="273"/>
      <c r="C155" s="378"/>
      <c r="D155" s="470" t="s">
        <v>197</v>
      </c>
      <c r="E155" s="472"/>
      <c r="F155" s="478"/>
      <c r="J155" s="381" t="s">
        <v>377</v>
      </c>
      <c r="K155" s="1103">
        <f>VLOOKUP(J155,Mapping!E:F,2,FALSE)</f>
        <v>0</v>
      </c>
      <c r="L155" s="1099">
        <f>VLOOKUP($J155,Mapping!E:G,3,FALSE)</f>
        <v>0</v>
      </c>
      <c r="M155" s="1098" t="s">
        <v>1699</v>
      </c>
      <c r="O155" s="277"/>
      <c r="P155" s="278"/>
    </row>
    <row r="156" spans="1:16" ht="13.95" customHeight="1" thickBot="1" x14ac:dyDescent="0.3">
      <c r="A156" s="169"/>
      <c r="B156" s="273"/>
      <c r="C156" s="378"/>
      <c r="D156" s="470" t="s">
        <v>198</v>
      </c>
      <c r="E156" s="472"/>
      <c r="F156" s="478"/>
      <c r="J156" s="381" t="s">
        <v>378</v>
      </c>
      <c r="K156" s="1103">
        <f>VLOOKUP(J156,Mapping!E:F,2,FALSE)</f>
        <v>0</v>
      </c>
      <c r="L156" s="1099">
        <f>VLOOKUP($J156,Mapping!E:G,3,FALSE)</f>
        <v>0</v>
      </c>
      <c r="M156" s="1098" t="s">
        <v>1691</v>
      </c>
      <c r="O156" s="277"/>
      <c r="P156" s="278"/>
    </row>
    <row r="157" spans="1:16" ht="13.95" customHeight="1" thickBot="1" x14ac:dyDescent="0.3">
      <c r="A157" s="169"/>
      <c r="B157" s="273"/>
      <c r="C157" s="378"/>
      <c r="D157" s="470" t="s">
        <v>199</v>
      </c>
      <c r="E157" s="472"/>
      <c r="F157" s="478"/>
      <c r="J157" s="381" t="s">
        <v>1094</v>
      </c>
      <c r="K157" s="1103">
        <f>VLOOKUP(J157,Mapping!E:F,2,FALSE)</f>
        <v>0</v>
      </c>
      <c r="L157" s="1099">
        <f>VLOOKUP($J157,Mapping!E:G,3,FALSE)</f>
        <v>0</v>
      </c>
      <c r="M157" s="1098" t="s">
        <v>1700</v>
      </c>
      <c r="O157" s="277"/>
      <c r="P157" s="278"/>
    </row>
    <row r="158" spans="1:16" ht="13.95" customHeight="1" thickBot="1" x14ac:dyDescent="0.3">
      <c r="A158" s="169"/>
      <c r="B158" s="273"/>
      <c r="C158" s="378"/>
      <c r="D158" s="470" t="s">
        <v>200</v>
      </c>
      <c r="E158" s="472"/>
      <c r="F158" s="478"/>
      <c r="J158" s="381" t="s">
        <v>1095</v>
      </c>
      <c r="K158" s="1103">
        <f>VLOOKUP(J158,Mapping!E:F,2,FALSE)</f>
        <v>0</v>
      </c>
      <c r="L158" s="1099">
        <f>VLOOKUP($J158,Mapping!E:G,3,FALSE)</f>
        <v>0</v>
      </c>
      <c r="M158" s="1098" t="s">
        <v>1700</v>
      </c>
      <c r="O158" s="277"/>
      <c r="P158" s="278"/>
    </row>
    <row r="159" spans="1:16" ht="13.95" customHeight="1" thickBot="1" x14ac:dyDescent="0.3">
      <c r="A159" s="169"/>
      <c r="B159" s="273"/>
      <c r="C159" s="378"/>
      <c r="D159" s="470" t="s">
        <v>201</v>
      </c>
      <c r="E159" s="472"/>
      <c r="F159" s="478"/>
      <c r="J159" s="381" t="s">
        <v>1096</v>
      </c>
      <c r="K159" s="1103">
        <f>VLOOKUP(J159,Mapping!E:F,2,FALSE)</f>
        <v>0</v>
      </c>
      <c r="L159" s="1099">
        <f>VLOOKUP($J159,Mapping!E:G,3,FALSE)</f>
        <v>0</v>
      </c>
      <c r="M159" s="1098" t="s">
        <v>1700</v>
      </c>
      <c r="O159" s="277"/>
      <c r="P159" s="278"/>
    </row>
    <row r="160" spans="1:16" ht="13.95" customHeight="1" thickBot="1" x14ac:dyDescent="0.3">
      <c r="A160" s="169"/>
      <c r="B160" s="273"/>
      <c r="C160" s="378"/>
      <c r="D160" s="470" t="s">
        <v>202</v>
      </c>
      <c r="E160" s="472"/>
      <c r="F160" s="478"/>
      <c r="J160" s="381" t="s">
        <v>1097</v>
      </c>
      <c r="K160" s="1103">
        <f>VLOOKUP(J160,Mapping!E:F,2,FALSE)</f>
        <v>0</v>
      </c>
      <c r="L160" s="1099">
        <f>VLOOKUP($J160,Mapping!E:G,3,FALSE)</f>
        <v>0</v>
      </c>
      <c r="M160" s="1098" t="s">
        <v>1699</v>
      </c>
      <c r="O160" s="277"/>
      <c r="P160" s="278"/>
    </row>
    <row r="161" spans="1:16" ht="13.95" customHeight="1" thickBot="1" x14ac:dyDescent="0.3">
      <c r="A161" s="169"/>
      <c r="B161" s="273"/>
      <c r="C161" s="378"/>
      <c r="D161" s="470" t="s">
        <v>203</v>
      </c>
      <c r="E161" s="472"/>
      <c r="F161" s="478"/>
      <c r="J161" s="381" t="s">
        <v>1098</v>
      </c>
      <c r="K161" s="1103">
        <f>VLOOKUP(J161,Mapping!E:F,2,FALSE)</f>
        <v>0</v>
      </c>
      <c r="L161" s="1099">
        <f>VLOOKUP($J161,Mapping!E:G,3,FALSE)</f>
        <v>0</v>
      </c>
      <c r="M161" s="1098" t="s">
        <v>1700</v>
      </c>
      <c r="O161" s="277"/>
      <c r="P161" s="278"/>
    </row>
    <row r="162" spans="1:16" ht="13.95" customHeight="1" thickBot="1" x14ac:dyDescent="0.3">
      <c r="A162" s="169"/>
      <c r="B162" s="273"/>
      <c r="C162" s="378"/>
      <c r="D162" s="470" t="s">
        <v>204</v>
      </c>
      <c r="E162" s="472"/>
      <c r="F162" s="478"/>
      <c r="J162" s="381" t="s">
        <v>1099</v>
      </c>
      <c r="K162" s="1103">
        <f>VLOOKUP(J162,Mapping!E:F,2,FALSE)</f>
        <v>0</v>
      </c>
      <c r="L162" s="1099">
        <f>VLOOKUP($J162,Mapping!E:G,3,FALSE)</f>
        <v>0</v>
      </c>
      <c r="M162" s="1098" t="s">
        <v>1700</v>
      </c>
      <c r="O162" s="277"/>
      <c r="P162" s="278"/>
    </row>
    <row r="163" spans="1:16" ht="13.95" customHeight="1" thickBot="1" x14ac:dyDescent="0.3">
      <c r="A163" s="169"/>
      <c r="B163" s="273"/>
      <c r="C163" s="378"/>
      <c r="D163" s="470" t="s">
        <v>205</v>
      </c>
      <c r="E163" s="472"/>
      <c r="F163" s="478"/>
      <c r="J163" s="381" t="s">
        <v>1100</v>
      </c>
      <c r="K163" s="1103">
        <f>VLOOKUP(J163,Mapping!E:F,2,FALSE)</f>
        <v>0</v>
      </c>
      <c r="L163" s="1099">
        <f>VLOOKUP($J163,Mapping!E:G,3,FALSE)</f>
        <v>0</v>
      </c>
      <c r="M163" s="1098" t="s">
        <v>1699</v>
      </c>
      <c r="O163" s="277"/>
      <c r="P163" s="278"/>
    </row>
    <row r="164" spans="1:16" ht="13.95" customHeight="1" thickBot="1" x14ac:dyDescent="0.3">
      <c r="A164" s="169"/>
      <c r="B164" s="273"/>
      <c r="C164" s="378"/>
      <c r="D164" s="470" t="s">
        <v>207</v>
      </c>
      <c r="E164" s="472"/>
      <c r="F164" s="478"/>
      <c r="J164" s="381" t="s">
        <v>89</v>
      </c>
      <c r="K164" s="1103">
        <f>VLOOKUP(J164,Mapping!E:F,2,FALSE)</f>
        <v>0</v>
      </c>
      <c r="L164" s="1099">
        <f>VLOOKUP($J164,Mapping!E:G,3,FALSE)</f>
        <v>0</v>
      </c>
      <c r="M164" s="1098" t="s">
        <v>1700</v>
      </c>
      <c r="O164" s="277"/>
      <c r="P164" s="278"/>
    </row>
    <row r="165" spans="1:16" ht="13.95" customHeight="1" thickBot="1" x14ac:dyDescent="0.3">
      <c r="A165" s="169"/>
      <c r="B165" s="273"/>
      <c r="C165" s="378"/>
      <c r="D165" s="470" t="s">
        <v>209</v>
      </c>
      <c r="E165" s="472"/>
      <c r="F165" s="478"/>
      <c r="J165" s="381" t="s">
        <v>91</v>
      </c>
      <c r="K165" s="1103">
        <f>VLOOKUP(J165,Mapping!E:F,2,FALSE)</f>
        <v>0</v>
      </c>
      <c r="L165" s="1099">
        <f>VLOOKUP($J165,Mapping!E:G,3,FALSE)</f>
        <v>0</v>
      </c>
      <c r="M165" s="1098" t="s">
        <v>1691</v>
      </c>
      <c r="O165" s="277"/>
      <c r="P165" s="278"/>
    </row>
    <row r="166" spans="1:16" ht="13.95" customHeight="1" thickBot="1" x14ac:dyDescent="0.3">
      <c r="A166" s="169"/>
      <c r="B166" s="273"/>
      <c r="C166" s="378"/>
      <c r="D166" s="470" t="s">
        <v>211</v>
      </c>
      <c r="E166" s="472"/>
      <c r="F166" s="478"/>
      <c r="J166" s="381" t="s">
        <v>92</v>
      </c>
      <c r="K166" s="1103">
        <f>VLOOKUP(J166,Mapping!E:F,2,FALSE)</f>
        <v>0</v>
      </c>
      <c r="L166" s="1099">
        <f>VLOOKUP($J166,Mapping!E:G,3,FALSE)</f>
        <v>0</v>
      </c>
      <c r="M166" s="1098" t="s">
        <v>1700</v>
      </c>
      <c r="O166" s="277"/>
      <c r="P166" s="278"/>
    </row>
    <row r="167" spans="1:16" ht="13.95" customHeight="1" thickBot="1" x14ac:dyDescent="0.3">
      <c r="A167" s="169"/>
      <c r="B167" s="273"/>
      <c r="C167" s="378"/>
      <c r="D167" s="470" t="s">
        <v>213</v>
      </c>
      <c r="E167" s="472"/>
      <c r="F167" s="478"/>
      <c r="J167" s="381" t="s">
        <v>94</v>
      </c>
      <c r="K167" s="1103">
        <f>VLOOKUP(J167,Mapping!E:F,2,FALSE)</f>
        <v>0</v>
      </c>
      <c r="L167" s="1099">
        <f>VLOOKUP($J167,Mapping!E:G,3,FALSE)</f>
        <v>0</v>
      </c>
      <c r="M167" s="1098" t="s">
        <v>1700</v>
      </c>
      <c r="O167" s="277"/>
      <c r="P167" s="278"/>
    </row>
    <row r="168" spans="1:16" ht="13.95" customHeight="1" thickBot="1" x14ac:dyDescent="0.3">
      <c r="A168" s="169"/>
      <c r="B168" s="273"/>
      <c r="C168" s="378"/>
      <c r="D168" s="470" t="s">
        <v>215</v>
      </c>
      <c r="E168" s="472"/>
      <c r="F168" s="478"/>
      <c r="J168" s="381" t="s">
        <v>96</v>
      </c>
      <c r="K168" s="1103">
        <f>VLOOKUP(J168,Mapping!E:F,2,FALSE)</f>
        <v>0</v>
      </c>
      <c r="L168" s="1099">
        <f>VLOOKUP($J168,Mapping!E:G,3,FALSE)</f>
        <v>0</v>
      </c>
      <c r="M168" s="1098" t="s">
        <v>1691</v>
      </c>
      <c r="O168" s="277"/>
      <c r="P168" s="278"/>
    </row>
    <row r="169" spans="1:16" ht="13.95" customHeight="1" thickBot="1" x14ac:dyDescent="0.3">
      <c r="A169" s="169"/>
      <c r="B169" s="273"/>
      <c r="C169" s="378"/>
      <c r="D169" s="470" t="s">
        <v>216</v>
      </c>
      <c r="E169" s="472"/>
      <c r="F169" s="478"/>
      <c r="J169" s="381" t="s">
        <v>98</v>
      </c>
      <c r="K169" s="1103">
        <f>VLOOKUP(J169,Mapping!E:F,2,FALSE)</f>
        <v>0</v>
      </c>
      <c r="L169" s="1099">
        <f>VLOOKUP($J169,Mapping!E:G,3,FALSE)</f>
        <v>0</v>
      </c>
      <c r="M169" s="1098" t="s">
        <v>1700</v>
      </c>
      <c r="O169" s="277"/>
      <c r="P169" s="278"/>
    </row>
    <row r="170" spans="1:16" ht="13.95" customHeight="1" thickBot="1" x14ac:dyDescent="0.3">
      <c r="A170" s="169"/>
      <c r="B170" s="273"/>
      <c r="C170" s="378"/>
      <c r="D170" s="470" t="s">
        <v>217</v>
      </c>
      <c r="E170" s="472"/>
      <c r="F170" s="478"/>
      <c r="J170" s="381" t="s">
        <v>1025</v>
      </c>
      <c r="K170" s="1103">
        <f>VLOOKUP(J170,Mapping!E:F,2,FALSE)</f>
        <v>0</v>
      </c>
      <c r="L170" s="1099">
        <f>VLOOKUP($J170,Mapping!E:G,3,FALSE)</f>
        <v>0</v>
      </c>
      <c r="M170" s="1098" t="s">
        <v>1700</v>
      </c>
      <c r="O170" s="277"/>
      <c r="P170" s="278"/>
    </row>
    <row r="171" spans="1:16" ht="13.95" customHeight="1" thickBot="1" x14ac:dyDescent="0.3">
      <c r="A171" s="169"/>
      <c r="B171" s="273"/>
      <c r="C171" s="378"/>
      <c r="D171" s="470" t="s">
        <v>218</v>
      </c>
      <c r="E171" s="472"/>
      <c r="F171" s="478"/>
      <c r="J171" s="381" t="s">
        <v>1026</v>
      </c>
      <c r="K171" s="1103">
        <f>VLOOKUP(J171,Mapping!E:F,2,FALSE)</f>
        <v>0</v>
      </c>
      <c r="L171" s="1099">
        <f>VLOOKUP($J171,Mapping!E:G,3,FALSE)</f>
        <v>0</v>
      </c>
      <c r="M171" s="1098" t="s">
        <v>1700</v>
      </c>
      <c r="O171" s="277"/>
      <c r="P171" s="278"/>
    </row>
    <row r="172" spans="1:16" ht="13.95" customHeight="1" thickBot="1" x14ac:dyDescent="0.3">
      <c r="A172" s="169"/>
      <c r="B172" s="273"/>
      <c r="C172" s="378"/>
      <c r="D172" s="470" t="s">
        <v>219</v>
      </c>
      <c r="E172" s="472"/>
      <c r="F172" s="478"/>
      <c r="J172" s="381" t="s">
        <v>1027</v>
      </c>
      <c r="K172" s="1103">
        <f>VLOOKUP(J172,Mapping!E:F,2,FALSE)</f>
        <v>0</v>
      </c>
      <c r="L172" s="1099">
        <f>VLOOKUP($J172,Mapping!E:G,3,FALSE)</f>
        <v>0</v>
      </c>
      <c r="M172" s="1098" t="s">
        <v>1691</v>
      </c>
      <c r="O172" s="277"/>
      <c r="P172" s="278"/>
    </row>
    <row r="173" spans="1:16" ht="13.95" customHeight="1" thickBot="1" x14ac:dyDescent="0.3">
      <c r="A173" s="169"/>
      <c r="B173" s="273"/>
      <c r="C173" s="378"/>
      <c r="D173" s="470" t="s">
        <v>220</v>
      </c>
      <c r="E173" s="472"/>
      <c r="F173" s="478"/>
      <c r="J173" s="381" t="s">
        <v>100</v>
      </c>
      <c r="K173" s="1103">
        <f>VLOOKUP(J173,Mapping!E:F,2,FALSE)</f>
        <v>0</v>
      </c>
      <c r="L173" s="1099">
        <f>VLOOKUP($J173,Mapping!E:G,3,FALSE)</f>
        <v>0</v>
      </c>
      <c r="M173" s="1098" t="s">
        <v>1700</v>
      </c>
      <c r="O173" s="277"/>
      <c r="P173" s="278"/>
    </row>
    <row r="174" spans="1:16" ht="13.95" customHeight="1" thickBot="1" x14ac:dyDescent="0.3">
      <c r="A174" s="169"/>
      <c r="B174" s="273"/>
      <c r="C174" s="378"/>
      <c r="D174" s="470" t="s">
        <v>221</v>
      </c>
      <c r="E174" s="472"/>
      <c r="F174" s="478"/>
      <c r="J174" s="381" t="s">
        <v>101</v>
      </c>
      <c r="K174" s="1103">
        <f>VLOOKUP(J174,Mapping!E:F,2,FALSE)</f>
        <v>0</v>
      </c>
      <c r="L174" s="1099">
        <f>VLOOKUP($J174,Mapping!E:G,3,FALSE)</f>
        <v>0</v>
      </c>
      <c r="M174" s="1098" t="s">
        <v>1691</v>
      </c>
      <c r="O174" s="277"/>
      <c r="P174" s="278"/>
    </row>
    <row r="175" spans="1:16" ht="13.95" customHeight="1" thickBot="1" x14ac:dyDescent="0.3">
      <c r="A175" s="169"/>
      <c r="B175" s="273"/>
      <c r="C175" s="378"/>
      <c r="D175" s="470" t="s">
        <v>222</v>
      </c>
      <c r="E175" s="472"/>
      <c r="F175" s="478"/>
      <c r="J175" s="381" t="s">
        <v>103</v>
      </c>
      <c r="K175" s="1103">
        <f>VLOOKUP(J175,Mapping!E:F,2,FALSE)</f>
        <v>0</v>
      </c>
      <c r="L175" s="1099">
        <f>VLOOKUP($J175,Mapping!E:G,3,FALSE)</f>
        <v>0</v>
      </c>
      <c r="M175" s="1098" t="s">
        <v>1700</v>
      </c>
      <c r="O175" s="277"/>
      <c r="P175" s="278"/>
    </row>
    <row r="176" spans="1:16" ht="13.95" customHeight="1" thickBot="1" x14ac:dyDescent="0.3">
      <c r="A176" s="169"/>
      <c r="B176" s="273"/>
      <c r="C176" s="378"/>
      <c r="D176" s="470" t="s">
        <v>223</v>
      </c>
      <c r="E176" s="472"/>
      <c r="F176" s="478"/>
      <c r="J176" s="381" t="s">
        <v>105</v>
      </c>
      <c r="K176" s="1103">
        <f>VLOOKUP(J176,Mapping!E:F,2,FALSE)</f>
        <v>0</v>
      </c>
      <c r="L176" s="1099">
        <f>VLOOKUP($J176,Mapping!E:G,3,FALSE)</f>
        <v>0</v>
      </c>
      <c r="M176" s="1098" t="s">
        <v>1700</v>
      </c>
      <c r="O176" s="277"/>
      <c r="P176" s="278"/>
    </row>
    <row r="177" spans="1:16" ht="13.95" customHeight="1" thickBot="1" x14ac:dyDescent="0.3">
      <c r="A177" s="169"/>
      <c r="B177" s="273"/>
      <c r="C177" s="378"/>
      <c r="D177" s="470" t="s">
        <v>224</v>
      </c>
      <c r="E177" s="472"/>
      <c r="F177" s="478"/>
      <c r="J177" s="381" t="s">
        <v>107</v>
      </c>
      <c r="K177" s="1103">
        <f>VLOOKUP(J177,Mapping!E:F,2,FALSE)</f>
        <v>0</v>
      </c>
      <c r="L177" s="1099">
        <f>VLOOKUP($J177,Mapping!E:G,3,FALSE)</f>
        <v>0</v>
      </c>
      <c r="M177" s="1098" t="s">
        <v>1691</v>
      </c>
      <c r="O177" s="277"/>
      <c r="P177" s="278"/>
    </row>
    <row r="178" spans="1:16" ht="13.95" customHeight="1" thickBot="1" x14ac:dyDescent="0.3">
      <c r="A178" s="169"/>
      <c r="B178" s="273"/>
      <c r="C178" s="378"/>
      <c r="D178" s="470" t="s">
        <v>225</v>
      </c>
      <c r="E178" s="472"/>
      <c r="F178" s="478"/>
      <c r="J178" s="381" t="s">
        <v>108</v>
      </c>
      <c r="K178" s="1103">
        <f>VLOOKUP(J178,Mapping!E:F,2,FALSE)</f>
        <v>0</v>
      </c>
      <c r="L178" s="1099">
        <f>VLOOKUP($J178,Mapping!E:G,3,FALSE)</f>
        <v>0</v>
      </c>
      <c r="M178" s="1098" t="s">
        <v>1700</v>
      </c>
      <c r="O178" s="277"/>
      <c r="P178" s="278"/>
    </row>
    <row r="179" spans="1:16" ht="13.95" customHeight="1" thickBot="1" x14ac:dyDescent="0.3">
      <c r="A179" s="169"/>
      <c r="B179" s="273"/>
      <c r="C179" s="378"/>
      <c r="D179" s="470" t="s">
        <v>226</v>
      </c>
      <c r="E179" s="472"/>
      <c r="F179" s="478"/>
      <c r="J179" s="381" t="s">
        <v>1028</v>
      </c>
      <c r="K179" s="1103">
        <f>VLOOKUP(J179,Mapping!E:F,2,FALSE)</f>
        <v>0</v>
      </c>
      <c r="L179" s="1099">
        <f>VLOOKUP($J179,Mapping!E:G,3,FALSE)</f>
        <v>0</v>
      </c>
      <c r="M179" s="1098" t="s">
        <v>1700</v>
      </c>
      <c r="O179" s="277"/>
      <c r="P179" s="278"/>
    </row>
    <row r="180" spans="1:16" ht="13.95" customHeight="1" thickBot="1" x14ac:dyDescent="0.3">
      <c r="A180" s="169"/>
      <c r="B180" s="273"/>
      <c r="C180" s="378"/>
      <c r="D180" s="470" t="s">
        <v>227</v>
      </c>
      <c r="E180" s="472"/>
      <c r="F180" s="478"/>
      <c r="J180" s="381" t="s">
        <v>1029</v>
      </c>
      <c r="K180" s="1103">
        <f>VLOOKUP(J180,Mapping!E:F,2,FALSE)</f>
        <v>0</v>
      </c>
      <c r="L180" s="1099">
        <f>VLOOKUP($J180,Mapping!E:G,3,FALSE)</f>
        <v>0</v>
      </c>
      <c r="M180" s="1098" t="s">
        <v>1700</v>
      </c>
      <c r="O180" s="277"/>
      <c r="P180" s="278"/>
    </row>
    <row r="181" spans="1:16" ht="13.95" customHeight="1" thickBot="1" x14ac:dyDescent="0.3">
      <c r="A181" s="169"/>
      <c r="B181" s="273"/>
      <c r="C181" s="378"/>
      <c r="D181" s="470" t="s">
        <v>228</v>
      </c>
      <c r="E181" s="472"/>
      <c r="F181" s="478"/>
      <c r="J181" s="381" t="s">
        <v>1030</v>
      </c>
      <c r="K181" s="1103">
        <f>VLOOKUP(J181,Mapping!E:F,2,FALSE)</f>
        <v>0</v>
      </c>
      <c r="L181" s="1099">
        <f>VLOOKUP($J181,Mapping!E:G,3,FALSE)</f>
        <v>0</v>
      </c>
      <c r="M181" s="1098" t="s">
        <v>1691</v>
      </c>
      <c r="O181" s="277"/>
      <c r="P181" s="278"/>
    </row>
    <row r="182" spans="1:16" ht="13.95" customHeight="1" thickBot="1" x14ac:dyDescent="0.3">
      <c r="A182" s="169"/>
      <c r="B182" s="273"/>
      <c r="C182" s="378"/>
      <c r="D182" s="470" t="s">
        <v>229</v>
      </c>
      <c r="E182" s="472"/>
      <c r="F182" s="478"/>
      <c r="J182" s="381" t="s">
        <v>111</v>
      </c>
      <c r="K182" s="1103">
        <f>VLOOKUP(J182,Mapping!E:F,2,FALSE)</f>
        <v>0</v>
      </c>
      <c r="L182" s="1099">
        <f>VLOOKUP($J182,Mapping!E:G,3,FALSE)</f>
        <v>0</v>
      </c>
      <c r="M182" s="1098" t="s">
        <v>1700</v>
      </c>
      <c r="O182" s="277"/>
      <c r="P182" s="278"/>
    </row>
    <row r="183" spans="1:16" ht="13.95" customHeight="1" thickBot="1" x14ac:dyDescent="0.3">
      <c r="A183" s="169"/>
      <c r="B183" s="273"/>
      <c r="C183" s="378"/>
      <c r="D183" s="470" t="s">
        <v>230</v>
      </c>
      <c r="E183" s="472"/>
      <c r="F183" s="478"/>
      <c r="J183" s="381" t="s">
        <v>113</v>
      </c>
      <c r="K183" s="1103">
        <f>VLOOKUP(J183,Mapping!E:F,2,FALSE)</f>
        <v>0</v>
      </c>
      <c r="L183" s="1099">
        <f>VLOOKUP($J183,Mapping!E:G,3,FALSE)</f>
        <v>0</v>
      </c>
      <c r="M183" s="1098" t="s">
        <v>1700</v>
      </c>
      <c r="O183" s="277"/>
      <c r="P183" s="278"/>
    </row>
    <row r="184" spans="1:16" ht="13.95" customHeight="1" thickBot="1" x14ac:dyDescent="0.3">
      <c r="A184" s="169"/>
      <c r="B184" s="273"/>
      <c r="C184" s="378"/>
      <c r="D184" s="470" t="s">
        <v>231</v>
      </c>
      <c r="E184" s="472"/>
      <c r="F184" s="478"/>
      <c r="J184" s="381" t="s">
        <v>115</v>
      </c>
      <c r="K184" s="1103">
        <f>VLOOKUP(J184,Mapping!E:F,2,FALSE)</f>
        <v>0</v>
      </c>
      <c r="L184" s="1099">
        <f>VLOOKUP($J184,Mapping!E:G,3,FALSE)</f>
        <v>0</v>
      </c>
      <c r="M184" s="1098" t="s">
        <v>1700</v>
      </c>
      <c r="O184" s="277"/>
      <c r="P184" s="278"/>
    </row>
    <row r="185" spans="1:16" ht="13.95" customHeight="1" thickBot="1" x14ac:dyDescent="0.3">
      <c r="A185" s="169"/>
      <c r="B185" s="273"/>
      <c r="C185" s="378"/>
      <c r="D185" s="470" t="s">
        <v>232</v>
      </c>
      <c r="E185" s="472"/>
      <c r="F185" s="478"/>
      <c r="J185" s="381" t="s">
        <v>117</v>
      </c>
      <c r="K185" s="1103">
        <f>VLOOKUP(J185,Mapping!E:F,2,FALSE)</f>
        <v>0</v>
      </c>
      <c r="L185" s="1099">
        <f>VLOOKUP($J185,Mapping!E:G,3,FALSE)</f>
        <v>0</v>
      </c>
      <c r="M185" s="1098" t="s">
        <v>1699</v>
      </c>
      <c r="O185" s="277"/>
      <c r="P185" s="278"/>
    </row>
    <row r="186" spans="1:16" ht="13.95" customHeight="1" thickBot="1" x14ac:dyDescent="0.3">
      <c r="A186" s="169"/>
      <c r="B186" s="273"/>
      <c r="C186" s="378"/>
      <c r="D186" s="470" t="s">
        <v>233</v>
      </c>
      <c r="E186" s="472"/>
      <c r="F186" s="478"/>
      <c r="J186" s="381" t="s">
        <v>119</v>
      </c>
      <c r="K186" s="1103">
        <f>VLOOKUP(J186,Mapping!E:F,2,FALSE)</f>
        <v>0</v>
      </c>
      <c r="L186" s="1099">
        <f>VLOOKUP($J186,Mapping!E:G,3,FALSE)</f>
        <v>0</v>
      </c>
      <c r="M186" s="1098" t="s">
        <v>1700</v>
      </c>
      <c r="O186" s="277"/>
      <c r="P186" s="278"/>
    </row>
    <row r="187" spans="1:16" ht="13.95" customHeight="1" thickBot="1" x14ac:dyDescent="0.3">
      <c r="A187" s="169"/>
      <c r="B187" s="273"/>
      <c r="C187" s="378"/>
      <c r="D187" s="470" t="s">
        <v>234</v>
      </c>
      <c r="E187" s="472"/>
      <c r="F187" s="478"/>
      <c r="J187" s="381" t="s">
        <v>120</v>
      </c>
      <c r="K187" s="1103">
        <f>VLOOKUP(J187,Mapping!E:F,2,FALSE)</f>
        <v>0</v>
      </c>
      <c r="L187" s="1099">
        <f>VLOOKUP($J187,Mapping!E:G,3,FALSE)</f>
        <v>0</v>
      </c>
      <c r="M187" s="1098" t="s">
        <v>1700</v>
      </c>
      <c r="O187" s="277"/>
      <c r="P187" s="278"/>
    </row>
    <row r="188" spans="1:16" ht="13.95" customHeight="1" thickBot="1" x14ac:dyDescent="0.3">
      <c r="A188" s="169"/>
      <c r="B188" s="273"/>
      <c r="C188" s="378"/>
      <c r="D188" s="470" t="s">
        <v>235</v>
      </c>
      <c r="E188" s="472"/>
      <c r="F188" s="478"/>
      <c r="J188" s="381" t="s">
        <v>122</v>
      </c>
      <c r="K188" s="1103">
        <f>VLOOKUP(J188,Mapping!E:F,2,FALSE)</f>
        <v>0</v>
      </c>
      <c r="L188" s="1099">
        <f>VLOOKUP($J188,Mapping!E:G,3,FALSE)</f>
        <v>0</v>
      </c>
      <c r="M188" s="1098" t="s">
        <v>1700</v>
      </c>
      <c r="O188" s="277"/>
      <c r="P188" s="278"/>
    </row>
    <row r="189" spans="1:16" ht="13.95" customHeight="1" thickBot="1" x14ac:dyDescent="0.3">
      <c r="A189" s="169"/>
      <c r="B189" s="273"/>
      <c r="C189" s="378"/>
      <c r="D189" s="470" t="s">
        <v>236</v>
      </c>
      <c r="E189" s="472"/>
      <c r="F189" s="478"/>
      <c r="J189" s="381" t="s">
        <v>125</v>
      </c>
      <c r="K189" s="1103">
        <f>VLOOKUP(J189,Mapping!E:F,2,FALSE)</f>
        <v>0</v>
      </c>
      <c r="L189" s="1099">
        <f>VLOOKUP($J189,Mapping!E:G,3,FALSE)</f>
        <v>0</v>
      </c>
      <c r="M189" s="1098" t="s">
        <v>1700</v>
      </c>
      <c r="O189" s="277"/>
      <c r="P189" s="278"/>
    </row>
    <row r="190" spans="1:16" ht="13.95" customHeight="1" thickBot="1" x14ac:dyDescent="0.3">
      <c r="A190" s="169"/>
      <c r="B190" s="273"/>
      <c r="C190" s="378"/>
      <c r="D190" s="470" t="s">
        <v>237</v>
      </c>
      <c r="E190" s="472"/>
      <c r="F190" s="478"/>
      <c r="J190" s="381" t="s">
        <v>128</v>
      </c>
      <c r="K190" s="1103">
        <f>VLOOKUP(J190,Mapping!E:F,2,FALSE)</f>
        <v>0</v>
      </c>
      <c r="L190" s="1099">
        <f>VLOOKUP($J190,Mapping!E:G,3,FALSE)</f>
        <v>0</v>
      </c>
      <c r="M190" s="1098" t="s">
        <v>1700</v>
      </c>
      <c r="O190" s="277"/>
      <c r="P190" s="278"/>
    </row>
    <row r="191" spans="1:16" ht="13.95" customHeight="1" thickBot="1" x14ac:dyDescent="0.3">
      <c r="A191" s="169"/>
      <c r="B191" s="273"/>
      <c r="C191" s="378"/>
      <c r="D191" s="470" t="s">
        <v>238</v>
      </c>
      <c r="E191" s="472"/>
      <c r="F191" s="478"/>
      <c r="J191" s="381" t="s">
        <v>131</v>
      </c>
      <c r="K191" s="1103">
        <f>VLOOKUP(J191,Mapping!E:F,2,FALSE)</f>
        <v>0</v>
      </c>
      <c r="L191" s="1099">
        <f>VLOOKUP($J191,Mapping!E:G,3,FALSE)</f>
        <v>0</v>
      </c>
      <c r="M191" s="1098" t="s">
        <v>1700</v>
      </c>
      <c r="O191" s="277"/>
      <c r="P191" s="278"/>
    </row>
    <row r="192" spans="1:16" ht="13.95" customHeight="1" thickBot="1" x14ac:dyDescent="0.3">
      <c r="A192" s="169"/>
      <c r="B192" s="273"/>
      <c r="C192" s="378"/>
      <c r="D192" s="470" t="s">
        <v>239</v>
      </c>
      <c r="E192" s="472"/>
      <c r="F192" s="478"/>
      <c r="J192" s="381" t="s">
        <v>134</v>
      </c>
      <c r="K192" s="1103">
        <f>VLOOKUP(J192,Mapping!E:F,2,FALSE)</f>
        <v>0</v>
      </c>
      <c r="L192" s="1099">
        <f>VLOOKUP($J192,Mapping!E:G,3,FALSE)</f>
        <v>0</v>
      </c>
      <c r="M192" s="1098" t="s">
        <v>1700</v>
      </c>
      <c r="O192" s="277"/>
      <c r="P192" s="278"/>
    </row>
    <row r="193" spans="1:16" ht="13.95" customHeight="1" thickBot="1" x14ac:dyDescent="0.3">
      <c r="A193" s="169"/>
      <c r="B193" s="273"/>
      <c r="C193" s="378"/>
      <c r="D193" s="470" t="s">
        <v>240</v>
      </c>
      <c r="E193" s="472"/>
      <c r="F193" s="478"/>
      <c r="J193" s="381" t="s">
        <v>136</v>
      </c>
      <c r="K193" s="1103">
        <f>VLOOKUP(J193,Mapping!E:F,2,FALSE)</f>
        <v>0</v>
      </c>
      <c r="L193" s="1099">
        <f>VLOOKUP($J193,Mapping!E:G,3,FALSE)</f>
        <v>0</v>
      </c>
      <c r="M193" s="1098" t="s">
        <v>1700</v>
      </c>
      <c r="O193" s="277"/>
      <c r="P193" s="278"/>
    </row>
    <row r="194" spans="1:16" ht="13.95" customHeight="1" thickBot="1" x14ac:dyDescent="0.3">
      <c r="A194" s="169"/>
      <c r="B194" s="273"/>
      <c r="C194" s="378"/>
      <c r="D194" s="470" t="s">
        <v>241</v>
      </c>
      <c r="E194" s="472"/>
      <c r="F194" s="478"/>
      <c r="J194" s="381" t="s">
        <v>139</v>
      </c>
      <c r="K194" s="1103">
        <f>VLOOKUP(J194,Mapping!E:F,2,FALSE)</f>
        <v>0</v>
      </c>
      <c r="L194" s="1099">
        <f>VLOOKUP($J194,Mapping!E:G,3,FALSE)</f>
        <v>0</v>
      </c>
      <c r="M194" s="1098" t="s">
        <v>1700</v>
      </c>
      <c r="O194" s="277"/>
      <c r="P194" s="278"/>
    </row>
    <row r="195" spans="1:16" ht="13.95" customHeight="1" thickBot="1" x14ac:dyDescent="0.3">
      <c r="A195" s="169"/>
      <c r="B195" s="273"/>
      <c r="C195" s="378"/>
      <c r="D195" s="470" t="s">
        <v>242</v>
      </c>
      <c r="E195" s="472"/>
      <c r="F195" s="478"/>
      <c r="J195" s="381" t="s">
        <v>142</v>
      </c>
      <c r="K195" s="1103">
        <f>VLOOKUP(J195,Mapping!E:F,2,FALSE)</f>
        <v>0</v>
      </c>
      <c r="L195" s="1099">
        <f>VLOOKUP($J195,Mapping!E:G,3,FALSE)</f>
        <v>0</v>
      </c>
      <c r="M195" s="1098" t="s">
        <v>1700</v>
      </c>
      <c r="O195" s="277"/>
      <c r="P195" s="278"/>
    </row>
    <row r="196" spans="1:16" ht="13.95" customHeight="1" thickBot="1" x14ac:dyDescent="0.3">
      <c r="A196" s="169"/>
      <c r="B196" s="273"/>
      <c r="C196" s="378"/>
      <c r="D196" s="470" t="s">
        <v>243</v>
      </c>
      <c r="E196" s="472"/>
      <c r="F196" s="478"/>
      <c r="J196" s="381" t="s">
        <v>145</v>
      </c>
      <c r="K196" s="1103">
        <f>VLOOKUP(J196,Mapping!E:F,2,FALSE)</f>
        <v>0</v>
      </c>
      <c r="L196" s="1099">
        <f>VLOOKUP($J196,Mapping!E:G,3,FALSE)</f>
        <v>0</v>
      </c>
      <c r="M196" s="1098" t="s">
        <v>1699</v>
      </c>
      <c r="O196" s="277"/>
      <c r="P196" s="278"/>
    </row>
    <row r="197" spans="1:16" ht="13.95" customHeight="1" thickBot="1" x14ac:dyDescent="0.3">
      <c r="A197" s="169"/>
      <c r="B197" s="273"/>
      <c r="C197" s="378"/>
      <c r="D197" s="470" t="s">
        <v>245</v>
      </c>
      <c r="E197" s="472"/>
      <c r="F197" s="478"/>
      <c r="J197" s="381" t="s">
        <v>148</v>
      </c>
      <c r="K197" s="1103">
        <f>VLOOKUP(J197,Mapping!E:F,2,FALSE)</f>
        <v>0</v>
      </c>
      <c r="L197" s="1099">
        <f>VLOOKUP($J197,Mapping!E:G,3,FALSE)</f>
        <v>0</v>
      </c>
      <c r="M197" s="1098" t="s">
        <v>1700</v>
      </c>
      <c r="O197" s="277"/>
      <c r="P197" s="278"/>
    </row>
    <row r="198" spans="1:16" ht="13.95" customHeight="1" thickBot="1" x14ac:dyDescent="0.3">
      <c r="A198" s="169"/>
      <c r="B198" s="273"/>
      <c r="C198" s="378"/>
      <c r="D198" s="470" t="s">
        <v>246</v>
      </c>
      <c r="E198" s="472"/>
      <c r="F198" s="478"/>
      <c r="J198" s="381" t="s">
        <v>150</v>
      </c>
      <c r="K198" s="1103">
        <f>VLOOKUP(J198,Mapping!E:F,2,FALSE)</f>
        <v>0</v>
      </c>
      <c r="L198" s="1099">
        <f>VLOOKUP($J198,Mapping!E:G,3,FALSE)</f>
        <v>0</v>
      </c>
      <c r="M198" s="1098" t="s">
        <v>1700</v>
      </c>
      <c r="O198" s="277"/>
      <c r="P198" s="278"/>
    </row>
    <row r="199" spans="1:16" ht="13.95" customHeight="1" thickBot="1" x14ac:dyDescent="0.3">
      <c r="A199" s="169"/>
      <c r="B199" s="273"/>
      <c r="C199" s="378"/>
      <c r="D199" s="470" t="s">
        <v>247</v>
      </c>
      <c r="E199" s="472"/>
      <c r="F199" s="478"/>
      <c r="J199" s="381" t="s">
        <v>152</v>
      </c>
      <c r="K199" s="1103">
        <f>VLOOKUP(J199,Mapping!E:F,2,FALSE)</f>
        <v>0</v>
      </c>
      <c r="L199" s="1099">
        <f>VLOOKUP($J199,Mapping!E:G,3,FALSE)</f>
        <v>0</v>
      </c>
      <c r="M199" s="1098" t="s">
        <v>1699</v>
      </c>
      <c r="O199" s="277"/>
      <c r="P199" s="278"/>
    </row>
    <row r="200" spans="1:16" ht="13.95" customHeight="1" thickBot="1" x14ac:dyDescent="0.3">
      <c r="A200" s="169"/>
      <c r="B200" s="273"/>
      <c r="C200" s="378"/>
      <c r="D200" s="470" t="s">
        <v>248</v>
      </c>
      <c r="E200" s="472"/>
      <c r="F200" s="478"/>
      <c r="J200" s="381" t="s">
        <v>419</v>
      </c>
      <c r="K200" s="1103">
        <f>VLOOKUP(J200,Mapping!E:F,2,FALSE)</f>
        <v>0</v>
      </c>
      <c r="L200" s="1099">
        <f>VLOOKUP($J200,Mapping!E:G,3,FALSE)</f>
        <v>0</v>
      </c>
      <c r="M200" s="1098" t="s">
        <v>1700</v>
      </c>
      <c r="O200" s="277"/>
      <c r="P200" s="278"/>
    </row>
    <row r="201" spans="1:16" ht="13.95" customHeight="1" thickBot="1" x14ac:dyDescent="0.3">
      <c r="A201" s="169"/>
      <c r="B201" s="273"/>
      <c r="C201" s="378"/>
      <c r="D201" s="470" t="s">
        <v>249</v>
      </c>
      <c r="E201" s="472"/>
      <c r="F201" s="478"/>
      <c r="J201" s="381" t="s">
        <v>420</v>
      </c>
      <c r="K201" s="1103">
        <f>VLOOKUP(J201,Mapping!E:F,2,FALSE)</f>
        <v>0</v>
      </c>
      <c r="L201" s="1099">
        <f>VLOOKUP($J201,Mapping!E:G,3,FALSE)</f>
        <v>0</v>
      </c>
      <c r="M201" s="1098" t="s">
        <v>1700</v>
      </c>
      <c r="O201" s="277"/>
      <c r="P201" s="278"/>
    </row>
    <row r="202" spans="1:16" ht="13.95" customHeight="1" thickBot="1" x14ac:dyDescent="0.3">
      <c r="A202" s="169"/>
      <c r="B202" s="273"/>
      <c r="C202" s="378"/>
      <c r="D202" s="470" t="s">
        <v>250</v>
      </c>
      <c r="E202" s="472"/>
      <c r="F202" s="478"/>
      <c r="J202" s="381" t="s">
        <v>421</v>
      </c>
      <c r="K202" s="1103">
        <f>VLOOKUP(J202,Mapping!E:F,2,FALSE)</f>
        <v>0</v>
      </c>
      <c r="L202" s="1099">
        <f>VLOOKUP($J202,Mapping!E:G,3,FALSE)</f>
        <v>0</v>
      </c>
      <c r="M202" s="1098" t="s">
        <v>1700</v>
      </c>
      <c r="O202" s="277"/>
      <c r="P202" s="278"/>
    </row>
    <row r="203" spans="1:16" ht="13.95" customHeight="1" thickBot="1" x14ac:dyDescent="0.3">
      <c r="A203" s="169"/>
      <c r="B203" s="273"/>
      <c r="C203" s="378"/>
      <c r="D203" s="470" t="s">
        <v>251</v>
      </c>
      <c r="E203" s="472"/>
      <c r="F203" s="478"/>
      <c r="J203" s="381" t="s">
        <v>422</v>
      </c>
      <c r="K203" s="1103">
        <f>VLOOKUP(J203,Mapping!E:F,2,FALSE)</f>
        <v>0</v>
      </c>
      <c r="L203" s="1099">
        <f>VLOOKUP($J203,Mapping!E:G,3,FALSE)</f>
        <v>0</v>
      </c>
      <c r="M203" s="1098" t="s">
        <v>1700</v>
      </c>
      <c r="O203" s="277"/>
      <c r="P203" s="278"/>
    </row>
    <row r="204" spans="1:16" ht="13.95" customHeight="1" thickBot="1" x14ac:dyDescent="0.3">
      <c r="A204" s="169"/>
      <c r="B204" s="273"/>
      <c r="C204" s="378"/>
      <c r="D204" s="470" t="s">
        <v>253</v>
      </c>
      <c r="E204" s="472"/>
      <c r="F204" s="478"/>
      <c r="J204" s="381" t="s">
        <v>423</v>
      </c>
      <c r="K204" s="1103">
        <f>VLOOKUP(J204,Mapping!E:F,2,FALSE)</f>
        <v>0</v>
      </c>
      <c r="L204" s="1099">
        <f>VLOOKUP($J204,Mapping!E:G,3,FALSE)</f>
        <v>0</v>
      </c>
      <c r="M204" s="1098" t="s">
        <v>1700</v>
      </c>
      <c r="O204" s="277"/>
      <c r="P204" s="278"/>
    </row>
    <row r="205" spans="1:16" ht="13.95" customHeight="1" thickBot="1" x14ac:dyDescent="0.3">
      <c r="A205" s="169"/>
      <c r="B205" s="273"/>
      <c r="C205" s="378"/>
      <c r="D205" s="470" t="s">
        <v>254</v>
      </c>
      <c r="E205" s="472"/>
      <c r="F205" s="478"/>
      <c r="J205" s="381" t="s">
        <v>424</v>
      </c>
      <c r="K205" s="1103">
        <f>VLOOKUP(J205,Mapping!E:F,2,FALSE)</f>
        <v>0</v>
      </c>
      <c r="L205" s="1099">
        <f>VLOOKUP($J205,Mapping!E:G,3,FALSE)</f>
        <v>0</v>
      </c>
      <c r="M205" s="1098" t="s">
        <v>1700</v>
      </c>
      <c r="O205" s="277"/>
      <c r="P205" s="278"/>
    </row>
    <row r="206" spans="1:16" ht="13.95" customHeight="1" thickBot="1" x14ac:dyDescent="0.3">
      <c r="A206" s="169"/>
      <c r="B206" s="273"/>
      <c r="C206" s="378"/>
      <c r="D206" s="470" t="s">
        <v>255</v>
      </c>
      <c r="E206" s="472"/>
      <c r="F206" s="478"/>
      <c r="J206" s="381" t="s">
        <v>425</v>
      </c>
      <c r="K206" s="1103">
        <f>VLOOKUP(J206,Mapping!E:F,2,FALSE)</f>
        <v>0</v>
      </c>
      <c r="L206" s="1099">
        <f>VLOOKUP($J206,Mapping!E:G,3,FALSE)</f>
        <v>0</v>
      </c>
      <c r="M206" s="1098" t="s">
        <v>1700</v>
      </c>
      <c r="O206" s="277"/>
      <c r="P206" s="278"/>
    </row>
    <row r="207" spans="1:16" ht="13.95" customHeight="1" thickBot="1" x14ac:dyDescent="0.3">
      <c r="A207" s="169"/>
      <c r="B207" s="273"/>
      <c r="C207" s="378"/>
      <c r="D207" s="470" t="s">
        <v>256</v>
      </c>
      <c r="E207" s="472"/>
      <c r="F207" s="478"/>
      <c r="J207" s="381" t="s">
        <v>426</v>
      </c>
      <c r="K207" s="1103">
        <f>VLOOKUP(J207,Mapping!E:F,2,FALSE)</f>
        <v>0</v>
      </c>
      <c r="L207" s="1099">
        <f>VLOOKUP($J207,Mapping!E:G,3,FALSE)</f>
        <v>0</v>
      </c>
      <c r="M207" s="1098" t="s">
        <v>1700</v>
      </c>
      <c r="O207" s="277"/>
      <c r="P207" s="278"/>
    </row>
    <row r="208" spans="1:16" ht="13.95" customHeight="1" thickBot="1" x14ac:dyDescent="0.3">
      <c r="A208" s="169"/>
      <c r="B208" s="273"/>
      <c r="C208" s="378"/>
      <c r="D208" s="470" t="s">
        <v>257</v>
      </c>
      <c r="E208" s="472"/>
      <c r="F208" s="478"/>
      <c r="J208" s="381" t="s">
        <v>427</v>
      </c>
      <c r="K208" s="1103">
        <f>VLOOKUP(J208,Mapping!E:F,2,FALSE)</f>
        <v>0</v>
      </c>
      <c r="L208" s="1099">
        <f>VLOOKUP($J208,Mapping!E:G,3,FALSE)</f>
        <v>0</v>
      </c>
      <c r="M208" s="1098" t="s">
        <v>1700</v>
      </c>
      <c r="O208" s="277"/>
      <c r="P208" s="278"/>
    </row>
    <row r="209" spans="1:16" ht="13.95" customHeight="1" thickBot="1" x14ac:dyDescent="0.3">
      <c r="A209" s="169"/>
      <c r="B209" s="273"/>
      <c r="C209" s="378"/>
      <c r="D209" s="470" t="s">
        <v>258</v>
      </c>
      <c r="E209" s="472"/>
      <c r="F209" s="478"/>
      <c r="J209" s="381" t="s">
        <v>428</v>
      </c>
      <c r="K209" s="1103">
        <f>VLOOKUP(J209,Mapping!E:F,2,FALSE)</f>
        <v>0</v>
      </c>
      <c r="L209" s="1099">
        <f>VLOOKUP($J209,Mapping!E:G,3,FALSE)</f>
        <v>0</v>
      </c>
      <c r="M209" s="1098" t="s">
        <v>1700</v>
      </c>
      <c r="O209" s="277"/>
      <c r="P209" s="278"/>
    </row>
    <row r="210" spans="1:16" ht="13.95" customHeight="1" thickBot="1" x14ac:dyDescent="0.3">
      <c r="A210" s="169"/>
      <c r="B210" s="273"/>
      <c r="C210" s="378"/>
      <c r="D210" s="470" t="s">
        <v>259</v>
      </c>
      <c r="E210" s="472"/>
      <c r="F210" s="478"/>
      <c r="J210" s="381" t="s">
        <v>429</v>
      </c>
      <c r="K210" s="1103">
        <f>VLOOKUP(J210,Mapping!E:F,2,FALSE)</f>
        <v>0</v>
      </c>
      <c r="L210" s="1099">
        <f>VLOOKUP($J210,Mapping!E:G,3,FALSE)</f>
        <v>0</v>
      </c>
      <c r="M210" s="1098" t="s">
        <v>1700</v>
      </c>
      <c r="O210" s="277"/>
      <c r="P210" s="278"/>
    </row>
    <row r="211" spans="1:16" ht="13.95" customHeight="1" thickBot="1" x14ac:dyDescent="0.3">
      <c r="A211" s="169"/>
      <c r="B211" s="273"/>
      <c r="C211" s="378"/>
      <c r="D211" s="470" t="s">
        <v>260</v>
      </c>
      <c r="E211" s="472"/>
      <c r="F211" s="478"/>
      <c r="J211" s="381" t="s">
        <v>430</v>
      </c>
      <c r="K211" s="1103">
        <f>VLOOKUP(J211,Mapping!E:F,2,FALSE)</f>
        <v>0</v>
      </c>
      <c r="L211" s="1099">
        <f>VLOOKUP($J211,Mapping!E:G,3,FALSE)</f>
        <v>0</v>
      </c>
      <c r="M211" s="1098" t="s">
        <v>1700</v>
      </c>
      <c r="O211" s="277"/>
      <c r="P211" s="278"/>
    </row>
    <row r="212" spans="1:16" ht="13.95" customHeight="1" thickBot="1" x14ac:dyDescent="0.3">
      <c r="A212" s="169"/>
      <c r="B212" s="273"/>
      <c r="C212" s="378"/>
      <c r="D212" s="470" t="s">
        <v>261</v>
      </c>
      <c r="E212" s="472"/>
      <c r="F212" s="478"/>
      <c r="J212" s="381" t="s">
        <v>431</v>
      </c>
      <c r="K212" s="1103">
        <f>VLOOKUP(J212,Mapping!E:F,2,FALSE)</f>
        <v>0</v>
      </c>
      <c r="L212" s="1099">
        <f>VLOOKUP($J212,Mapping!E:G,3,FALSE)</f>
        <v>0</v>
      </c>
      <c r="M212" s="1098" t="s">
        <v>1700</v>
      </c>
      <c r="O212" s="277"/>
      <c r="P212" s="278"/>
    </row>
    <row r="213" spans="1:16" ht="13.95" customHeight="1" thickBot="1" x14ac:dyDescent="0.3">
      <c r="A213" s="169"/>
      <c r="B213" s="273"/>
      <c r="C213" s="378"/>
      <c r="D213" s="470" t="s">
        <v>262</v>
      </c>
      <c r="E213" s="472"/>
      <c r="F213" s="478"/>
      <c r="J213" s="381" t="s">
        <v>432</v>
      </c>
      <c r="K213" s="1103">
        <f>VLOOKUP(J213,Mapping!E:F,2,FALSE)</f>
        <v>0</v>
      </c>
      <c r="L213" s="1099">
        <f>VLOOKUP($J213,Mapping!E:G,3,FALSE)</f>
        <v>0</v>
      </c>
      <c r="M213" s="1098" t="s">
        <v>1700</v>
      </c>
      <c r="O213" s="277"/>
      <c r="P213" s="278"/>
    </row>
    <row r="214" spans="1:16" ht="13.95" customHeight="1" thickBot="1" x14ac:dyDescent="0.3">
      <c r="A214" s="169"/>
      <c r="B214" s="273"/>
      <c r="C214" s="378"/>
      <c r="D214" s="470" t="s">
        <v>263</v>
      </c>
      <c r="E214" s="472"/>
      <c r="F214" s="478"/>
      <c r="J214" s="381" t="s">
        <v>433</v>
      </c>
      <c r="K214" s="1103">
        <f>VLOOKUP(J214,Mapping!E:F,2,FALSE)</f>
        <v>0</v>
      </c>
      <c r="L214" s="1099">
        <f>VLOOKUP($J214,Mapping!E:G,3,FALSE)</f>
        <v>0</v>
      </c>
      <c r="M214" s="1098" t="s">
        <v>1700</v>
      </c>
      <c r="O214" s="277"/>
      <c r="P214" s="278"/>
    </row>
    <row r="215" spans="1:16" ht="13.95" customHeight="1" thickBot="1" x14ac:dyDescent="0.3">
      <c r="A215" s="169"/>
      <c r="B215" s="273"/>
      <c r="C215" s="378"/>
      <c r="D215" s="470" t="s">
        <v>264</v>
      </c>
      <c r="E215" s="472"/>
      <c r="F215" s="478"/>
      <c r="J215" s="381" t="s">
        <v>434</v>
      </c>
      <c r="K215" s="1103">
        <f>VLOOKUP(J215,Mapping!E:F,2,FALSE)</f>
        <v>0</v>
      </c>
      <c r="L215" s="1099">
        <f>VLOOKUP($J215,Mapping!E:G,3,FALSE)</f>
        <v>0</v>
      </c>
      <c r="M215" s="1098" t="s">
        <v>1700</v>
      </c>
      <c r="O215" s="277"/>
      <c r="P215" s="278"/>
    </row>
    <row r="216" spans="1:16" ht="13.95" customHeight="1" thickBot="1" x14ac:dyDescent="0.3">
      <c r="A216" s="169"/>
      <c r="B216" s="273"/>
      <c r="C216" s="378"/>
      <c r="D216" s="470" t="s">
        <v>265</v>
      </c>
      <c r="E216" s="472"/>
      <c r="F216" s="478"/>
      <c r="J216" s="381" t="s">
        <v>435</v>
      </c>
      <c r="K216" s="1103">
        <f>VLOOKUP(J216,Mapping!E:F,2,FALSE)</f>
        <v>0</v>
      </c>
      <c r="L216" s="1099">
        <f>VLOOKUP($J216,Mapping!E:G,3,FALSE)</f>
        <v>0</v>
      </c>
      <c r="M216" s="1098" t="s">
        <v>1700</v>
      </c>
      <c r="O216" s="277"/>
      <c r="P216" s="278"/>
    </row>
    <row r="217" spans="1:16" ht="13.95" customHeight="1" thickBot="1" x14ac:dyDescent="0.3">
      <c r="A217" s="169"/>
      <c r="B217" s="273"/>
      <c r="C217" s="378"/>
      <c r="D217" s="470" t="s">
        <v>266</v>
      </c>
      <c r="E217" s="472"/>
      <c r="F217" s="478"/>
      <c r="J217" s="381" t="s">
        <v>436</v>
      </c>
      <c r="K217" s="1103">
        <f>VLOOKUP(J217,Mapping!E:F,2,FALSE)</f>
        <v>0</v>
      </c>
      <c r="L217" s="1099">
        <f>VLOOKUP($J217,Mapping!E:G,3,FALSE)</f>
        <v>0</v>
      </c>
      <c r="M217" s="1098" t="s">
        <v>1700</v>
      </c>
      <c r="O217" s="277"/>
      <c r="P217" s="278"/>
    </row>
    <row r="218" spans="1:16" ht="13.95" customHeight="1" thickBot="1" x14ac:dyDescent="0.3">
      <c r="A218" s="169"/>
      <c r="B218" s="273"/>
      <c r="C218" s="378"/>
      <c r="D218" s="470" t="s">
        <v>267</v>
      </c>
      <c r="E218" s="472"/>
      <c r="F218" s="478"/>
      <c r="J218" s="381" t="s">
        <v>437</v>
      </c>
      <c r="K218" s="1103">
        <f>VLOOKUP(J218,Mapping!E:F,2,FALSE)</f>
        <v>0</v>
      </c>
      <c r="L218" s="1099">
        <f>VLOOKUP($J218,Mapping!E:G,3,FALSE)</f>
        <v>0</v>
      </c>
      <c r="M218" s="1098" t="s">
        <v>1700</v>
      </c>
      <c r="O218" s="277"/>
      <c r="P218" s="278"/>
    </row>
    <row r="219" spans="1:16" ht="13.95" customHeight="1" thickBot="1" x14ac:dyDescent="0.3">
      <c r="A219" s="169"/>
      <c r="B219" s="273"/>
      <c r="C219" s="378"/>
      <c r="D219" s="470" t="s">
        <v>268</v>
      </c>
      <c r="E219" s="472"/>
      <c r="F219" s="478"/>
      <c r="J219" s="381" t="s">
        <v>438</v>
      </c>
      <c r="K219" s="1103">
        <f>VLOOKUP(J219,Mapping!E:F,2,FALSE)</f>
        <v>0</v>
      </c>
      <c r="L219" s="1099">
        <f>VLOOKUP($J219,Mapping!E:G,3,FALSE)</f>
        <v>0</v>
      </c>
      <c r="M219" s="1098" t="s">
        <v>1700</v>
      </c>
      <c r="O219" s="277"/>
      <c r="P219" s="278"/>
    </row>
    <row r="220" spans="1:16" ht="13.95" customHeight="1" thickBot="1" x14ac:dyDescent="0.3">
      <c r="A220" s="169"/>
      <c r="B220" s="273"/>
      <c r="C220" s="378"/>
      <c r="D220" s="470" t="s">
        <v>269</v>
      </c>
      <c r="E220" s="472"/>
      <c r="F220" s="478"/>
      <c r="J220" s="381" t="s">
        <v>439</v>
      </c>
      <c r="K220" s="1103">
        <f>VLOOKUP(J220,Mapping!E:F,2,FALSE)</f>
        <v>0</v>
      </c>
      <c r="L220" s="1099">
        <f>VLOOKUP($J220,Mapping!E:G,3,FALSE)</f>
        <v>0</v>
      </c>
      <c r="M220" s="1098" t="s">
        <v>1700</v>
      </c>
      <c r="O220" s="277"/>
      <c r="P220" s="278"/>
    </row>
    <row r="221" spans="1:16" ht="13.95" customHeight="1" thickBot="1" x14ac:dyDescent="0.3">
      <c r="A221" s="169"/>
      <c r="B221" s="273"/>
      <c r="C221" s="378"/>
      <c r="D221" s="470" t="s">
        <v>270</v>
      </c>
      <c r="E221" s="472"/>
      <c r="F221" s="478"/>
      <c r="J221" s="381" t="s">
        <v>440</v>
      </c>
      <c r="K221" s="1103">
        <f>VLOOKUP(J221,Mapping!E:F,2,FALSE)</f>
        <v>0</v>
      </c>
      <c r="L221" s="1099">
        <f>VLOOKUP($J221,Mapping!E:G,3,FALSE)</f>
        <v>0</v>
      </c>
      <c r="M221" s="1098" t="s">
        <v>1700</v>
      </c>
      <c r="O221" s="277"/>
      <c r="P221" s="278"/>
    </row>
    <row r="222" spans="1:16" ht="13.95" customHeight="1" thickBot="1" x14ac:dyDescent="0.3">
      <c r="A222" s="169"/>
      <c r="B222" s="273"/>
      <c r="C222" s="378"/>
      <c r="D222" s="470" t="s">
        <v>271</v>
      </c>
      <c r="E222" s="472"/>
      <c r="F222" s="478"/>
      <c r="J222" s="381" t="s">
        <v>441</v>
      </c>
      <c r="K222" s="1103">
        <f>VLOOKUP(J222,Mapping!E:F,2,FALSE)</f>
        <v>0</v>
      </c>
      <c r="L222" s="1099">
        <f>VLOOKUP($J222,Mapping!E:G,3,FALSE)</f>
        <v>0</v>
      </c>
      <c r="M222" s="1098" t="s">
        <v>1700</v>
      </c>
      <c r="O222" s="277"/>
      <c r="P222" s="278"/>
    </row>
    <row r="223" spans="1:16" ht="13.95" customHeight="1" thickBot="1" x14ac:dyDescent="0.3">
      <c r="A223" s="169"/>
      <c r="B223" s="273"/>
      <c r="C223" s="378"/>
      <c r="D223" s="470" t="s">
        <v>272</v>
      </c>
      <c r="E223" s="472"/>
      <c r="F223" s="478"/>
      <c r="J223" s="381" t="s">
        <v>442</v>
      </c>
      <c r="K223" s="1103">
        <f>VLOOKUP(J223,Mapping!E:F,2,FALSE)</f>
        <v>0</v>
      </c>
      <c r="L223" s="1099">
        <f>VLOOKUP($J223,Mapping!E:G,3,FALSE)</f>
        <v>0</v>
      </c>
      <c r="M223" s="1098" t="s">
        <v>1700</v>
      </c>
      <c r="O223" s="277"/>
      <c r="P223" s="278"/>
    </row>
    <row r="224" spans="1:16" ht="13.95" customHeight="1" thickBot="1" x14ac:dyDescent="0.3">
      <c r="A224" s="169"/>
      <c r="B224" s="273"/>
      <c r="C224" s="378"/>
      <c r="D224" s="470" t="s">
        <v>273</v>
      </c>
      <c r="E224" s="472"/>
      <c r="F224" s="478"/>
      <c r="J224" s="381" t="s">
        <v>443</v>
      </c>
      <c r="K224" s="1103">
        <f>VLOOKUP(J224,Mapping!E:F,2,FALSE)</f>
        <v>0</v>
      </c>
      <c r="L224" s="1099">
        <f>VLOOKUP($J224,Mapping!E:G,3,FALSE)</f>
        <v>0</v>
      </c>
      <c r="M224" s="1098" t="s">
        <v>1700</v>
      </c>
      <c r="O224" s="277"/>
      <c r="P224" s="278"/>
    </row>
    <row r="225" spans="1:16" ht="13.95" customHeight="1" thickBot="1" x14ac:dyDescent="0.3">
      <c r="A225" s="169"/>
      <c r="B225" s="273"/>
      <c r="C225" s="378"/>
      <c r="D225" s="470" t="s">
        <v>274</v>
      </c>
      <c r="E225" s="472"/>
      <c r="F225" s="478"/>
      <c r="J225" s="381" t="s">
        <v>444</v>
      </c>
      <c r="K225" s="1103">
        <f>VLOOKUP(J225,Mapping!E:F,2,FALSE)</f>
        <v>0</v>
      </c>
      <c r="L225" s="1099">
        <f>VLOOKUP($J225,Mapping!E:G,3,FALSE)</f>
        <v>0</v>
      </c>
      <c r="M225" s="1098" t="s">
        <v>1700</v>
      </c>
      <c r="O225" s="277"/>
      <c r="P225" s="278"/>
    </row>
    <row r="226" spans="1:16" ht="13.95" customHeight="1" thickBot="1" x14ac:dyDescent="0.3">
      <c r="A226" s="169"/>
      <c r="B226" s="273"/>
      <c r="C226" s="378"/>
      <c r="D226" s="470" t="s">
        <v>275</v>
      </c>
      <c r="E226" s="472"/>
      <c r="F226" s="478"/>
      <c r="J226" s="381" t="s">
        <v>445</v>
      </c>
      <c r="K226" s="1103">
        <f>VLOOKUP(J226,Mapping!E:F,2,FALSE)</f>
        <v>0</v>
      </c>
      <c r="L226" s="1099">
        <f>VLOOKUP($J226,Mapping!E:G,3,FALSE)</f>
        <v>0</v>
      </c>
      <c r="M226" s="1098" t="s">
        <v>1700</v>
      </c>
      <c r="O226" s="277"/>
      <c r="P226" s="278"/>
    </row>
    <row r="227" spans="1:16" ht="13.95" customHeight="1" thickBot="1" x14ac:dyDescent="0.3">
      <c r="A227" s="169"/>
      <c r="B227" s="273"/>
      <c r="C227" s="378"/>
      <c r="D227" s="470" t="s">
        <v>276</v>
      </c>
      <c r="E227" s="472"/>
      <c r="F227" s="478"/>
      <c r="J227" s="381" t="s">
        <v>379</v>
      </c>
      <c r="K227" s="1103">
        <f>VLOOKUP(J227,Mapping!E:F,2,FALSE)</f>
        <v>0</v>
      </c>
      <c r="L227" s="1099">
        <f>VLOOKUP($J227,Mapping!E:G,3,FALSE)</f>
        <v>0</v>
      </c>
      <c r="M227" s="1098" t="s">
        <v>1700</v>
      </c>
      <c r="O227" s="277"/>
      <c r="P227" s="278"/>
    </row>
    <row r="228" spans="1:16" ht="13.95" customHeight="1" thickBot="1" x14ac:dyDescent="0.3">
      <c r="A228" s="169"/>
      <c r="B228" s="273"/>
      <c r="C228" s="378"/>
      <c r="D228" s="470" t="s">
        <v>278</v>
      </c>
      <c r="E228" s="472"/>
      <c r="F228" s="478"/>
      <c r="J228" s="381" t="s">
        <v>380</v>
      </c>
      <c r="K228" s="1103">
        <f>VLOOKUP(J228,Mapping!E:F,2,FALSE)</f>
        <v>0</v>
      </c>
      <c r="L228" s="1099">
        <f>VLOOKUP($J228,Mapping!E:G,3,FALSE)</f>
        <v>0</v>
      </c>
      <c r="M228" s="1098" t="s">
        <v>1700</v>
      </c>
      <c r="O228" s="277"/>
      <c r="P228" s="278"/>
    </row>
    <row r="229" spans="1:16" ht="13.95" customHeight="1" thickBot="1" x14ac:dyDescent="0.3">
      <c r="A229" s="169"/>
      <c r="B229" s="273"/>
      <c r="C229" s="378"/>
      <c r="D229" s="470" t="s">
        <v>280</v>
      </c>
      <c r="E229" s="472"/>
      <c r="F229" s="478"/>
      <c r="J229" s="381" t="s">
        <v>381</v>
      </c>
      <c r="K229" s="1103">
        <f>VLOOKUP(J229,Mapping!E:F,2,FALSE)</f>
        <v>0</v>
      </c>
      <c r="L229" s="1099">
        <f>VLOOKUP($J229,Mapping!E:G,3,FALSE)</f>
        <v>0</v>
      </c>
      <c r="M229" s="1098" t="s">
        <v>1700</v>
      </c>
      <c r="O229" s="277"/>
      <c r="P229" s="278"/>
    </row>
    <row r="230" spans="1:16" ht="13.95" customHeight="1" thickBot="1" x14ac:dyDescent="0.3">
      <c r="A230" s="169"/>
      <c r="B230" s="273"/>
      <c r="C230" s="378"/>
      <c r="D230" s="470" t="s">
        <v>281</v>
      </c>
      <c r="E230" s="472"/>
      <c r="F230" s="478"/>
      <c r="J230" s="381" t="s">
        <v>382</v>
      </c>
      <c r="K230" s="1103">
        <f>VLOOKUP(J230,Mapping!E:F,2,FALSE)</f>
        <v>0</v>
      </c>
      <c r="L230" s="1099">
        <f>VLOOKUP($J230,Mapping!E:G,3,FALSE)</f>
        <v>0</v>
      </c>
      <c r="M230" s="1098" t="s">
        <v>1700</v>
      </c>
      <c r="O230" s="277"/>
      <c r="P230" s="278"/>
    </row>
    <row r="231" spans="1:16" ht="13.95" customHeight="1" thickBot="1" x14ac:dyDescent="0.3">
      <c r="A231" s="169"/>
      <c r="B231" s="273"/>
      <c r="C231" s="378"/>
      <c r="D231" s="470" t="s">
        <v>282</v>
      </c>
      <c r="E231" s="472"/>
      <c r="F231" s="478"/>
      <c r="J231" s="381" t="s">
        <v>383</v>
      </c>
      <c r="K231" s="1103">
        <f>VLOOKUP(J231,Mapping!E:F,2,FALSE)</f>
        <v>0</v>
      </c>
      <c r="L231" s="1099">
        <f>VLOOKUP($J231,Mapping!E:G,3,FALSE)</f>
        <v>0</v>
      </c>
      <c r="M231" s="1098" t="s">
        <v>1700</v>
      </c>
      <c r="O231" s="277"/>
      <c r="P231" s="278"/>
    </row>
    <row r="232" spans="1:16" ht="13.95" customHeight="1" thickBot="1" x14ac:dyDescent="0.3">
      <c r="A232" s="169"/>
      <c r="B232" s="273"/>
      <c r="C232" s="378"/>
      <c r="D232" s="470" t="s">
        <v>283</v>
      </c>
      <c r="E232" s="472"/>
      <c r="F232" s="478"/>
      <c r="J232" s="381" t="s">
        <v>384</v>
      </c>
      <c r="K232" s="1103">
        <f>VLOOKUP(J232,Mapping!E:F,2,FALSE)</f>
        <v>0</v>
      </c>
      <c r="L232" s="1099">
        <f>VLOOKUP($J232,Mapping!E:G,3,FALSE)</f>
        <v>0</v>
      </c>
      <c r="M232" s="1098" t="s">
        <v>1700</v>
      </c>
      <c r="O232" s="277"/>
      <c r="P232" s="278"/>
    </row>
    <row r="233" spans="1:16" ht="13.95" customHeight="1" thickBot="1" x14ac:dyDescent="0.3">
      <c r="A233" s="169"/>
      <c r="B233" s="273"/>
      <c r="C233" s="378"/>
      <c r="D233" s="470" t="s">
        <v>284</v>
      </c>
      <c r="E233" s="472"/>
      <c r="F233" s="478"/>
      <c r="J233" s="381" t="s">
        <v>385</v>
      </c>
      <c r="K233" s="1103">
        <f>VLOOKUP(J233,Mapping!E:F,2,FALSE)</f>
        <v>0</v>
      </c>
      <c r="L233" s="1099">
        <f>VLOOKUP($J233,Mapping!E:G,3,FALSE)</f>
        <v>0</v>
      </c>
      <c r="M233" s="1098" t="s">
        <v>1700</v>
      </c>
      <c r="O233" s="277"/>
      <c r="P233" s="278"/>
    </row>
    <row r="234" spans="1:16" ht="13.95" customHeight="1" thickBot="1" x14ac:dyDescent="0.3">
      <c r="A234" s="169"/>
      <c r="B234" s="273"/>
      <c r="C234" s="378"/>
      <c r="D234" s="470" t="s">
        <v>285</v>
      </c>
      <c r="E234" s="472"/>
      <c r="F234" s="478"/>
      <c r="J234" s="381" t="s">
        <v>386</v>
      </c>
      <c r="K234" s="1103">
        <f>VLOOKUP(J234,Mapping!E:F,2,FALSE)</f>
        <v>0</v>
      </c>
      <c r="L234" s="1099">
        <f>VLOOKUP($J234,Mapping!E:G,3,FALSE)</f>
        <v>0</v>
      </c>
      <c r="M234" s="1098" t="s">
        <v>1700</v>
      </c>
      <c r="O234" s="277"/>
      <c r="P234" s="278"/>
    </row>
    <row r="235" spans="1:16" ht="13.95" customHeight="1" thickBot="1" x14ac:dyDescent="0.3">
      <c r="A235" s="169"/>
      <c r="B235" s="273"/>
      <c r="C235" s="378"/>
      <c r="D235" s="470" t="s">
        <v>286</v>
      </c>
      <c r="E235" s="472"/>
      <c r="F235" s="478"/>
      <c r="J235" s="381" t="s">
        <v>387</v>
      </c>
      <c r="K235" s="1103">
        <f>VLOOKUP(J235,Mapping!E:F,2,FALSE)</f>
        <v>0</v>
      </c>
      <c r="L235" s="1099">
        <f>VLOOKUP($J235,Mapping!E:G,3,FALSE)</f>
        <v>0</v>
      </c>
      <c r="M235" s="1098" t="s">
        <v>1700</v>
      </c>
      <c r="O235" s="277"/>
      <c r="P235" s="278"/>
    </row>
    <row r="236" spans="1:16" ht="13.95" customHeight="1" thickBot="1" x14ac:dyDescent="0.3">
      <c r="A236" s="169"/>
      <c r="B236" s="273"/>
      <c r="C236" s="378"/>
      <c r="D236" s="470" t="s">
        <v>287</v>
      </c>
      <c r="E236" s="472"/>
      <c r="F236" s="478"/>
      <c r="J236" s="381" t="s">
        <v>388</v>
      </c>
      <c r="K236" s="1103">
        <f>VLOOKUP(J236,Mapping!E:F,2,FALSE)</f>
        <v>0</v>
      </c>
      <c r="L236" s="1099">
        <f>VLOOKUP($J236,Mapping!E:G,3,FALSE)</f>
        <v>0</v>
      </c>
      <c r="M236" s="1098" t="s">
        <v>1700</v>
      </c>
      <c r="O236" s="277"/>
      <c r="P236" s="278"/>
    </row>
    <row r="237" spans="1:16" ht="13.95" customHeight="1" thickBot="1" x14ac:dyDescent="0.3">
      <c r="A237" s="169"/>
      <c r="B237" s="273"/>
      <c r="C237" s="378"/>
      <c r="D237" s="470" t="s">
        <v>288</v>
      </c>
      <c r="E237" s="472"/>
      <c r="F237" s="478"/>
      <c r="J237" s="381" t="s">
        <v>389</v>
      </c>
      <c r="K237" s="1103">
        <f>VLOOKUP(J237,Mapping!E:F,2,FALSE)</f>
        <v>0</v>
      </c>
      <c r="L237" s="1099">
        <f>VLOOKUP($J237,Mapping!E:G,3,FALSE)</f>
        <v>0</v>
      </c>
      <c r="M237" s="1098" t="s">
        <v>1700</v>
      </c>
      <c r="O237" s="277"/>
      <c r="P237" s="278"/>
    </row>
    <row r="238" spans="1:16" ht="13.95" customHeight="1" thickBot="1" x14ac:dyDescent="0.3">
      <c r="A238" s="169"/>
      <c r="B238" s="273"/>
      <c r="C238" s="378"/>
      <c r="D238" s="470" t="s">
        <v>289</v>
      </c>
      <c r="E238" s="472"/>
      <c r="F238" s="478"/>
      <c r="J238" s="381" t="s">
        <v>390</v>
      </c>
      <c r="K238" s="1103">
        <f>VLOOKUP(J238,Mapping!E:F,2,FALSE)</f>
        <v>0</v>
      </c>
      <c r="L238" s="1099">
        <f>VLOOKUP($J238,Mapping!E:G,3,FALSE)</f>
        <v>0</v>
      </c>
      <c r="M238" s="1098" t="s">
        <v>1700</v>
      </c>
      <c r="O238" s="277"/>
      <c r="P238" s="278"/>
    </row>
    <row r="239" spans="1:16" ht="13.95" customHeight="1" thickBot="1" x14ac:dyDescent="0.3">
      <c r="A239" s="169"/>
      <c r="B239" s="273"/>
      <c r="C239" s="378"/>
      <c r="D239" s="470" t="s">
        <v>290</v>
      </c>
      <c r="E239" s="472"/>
      <c r="F239" s="478"/>
      <c r="J239" s="381" t="s">
        <v>391</v>
      </c>
      <c r="K239" s="1103">
        <f>VLOOKUP(J239,Mapping!E:F,2,FALSE)</f>
        <v>0</v>
      </c>
      <c r="L239" s="1099">
        <f>VLOOKUP($J239,Mapping!E:G,3,FALSE)</f>
        <v>0</v>
      </c>
      <c r="M239" s="1098" t="s">
        <v>1700</v>
      </c>
      <c r="O239" s="277"/>
      <c r="P239" s="278"/>
    </row>
    <row r="240" spans="1:16" ht="13.95" customHeight="1" thickBot="1" x14ac:dyDescent="0.3">
      <c r="A240" s="169"/>
      <c r="B240" s="273"/>
      <c r="C240" s="378"/>
      <c r="D240" s="470" t="s">
        <v>291</v>
      </c>
      <c r="E240" s="472"/>
      <c r="F240" s="478"/>
      <c r="J240" s="381" t="s">
        <v>392</v>
      </c>
      <c r="K240" s="1103">
        <f>VLOOKUP(J240,Mapping!E:F,2,FALSE)</f>
        <v>0</v>
      </c>
      <c r="L240" s="1099">
        <f>VLOOKUP($J240,Mapping!E:G,3,FALSE)</f>
        <v>0</v>
      </c>
      <c r="M240" s="1098" t="s">
        <v>1700</v>
      </c>
      <c r="O240" s="277"/>
      <c r="P240" s="278"/>
    </row>
    <row r="241" spans="1:16" ht="13.95" customHeight="1" thickBot="1" x14ac:dyDescent="0.3">
      <c r="A241" s="169"/>
      <c r="B241" s="273"/>
      <c r="C241" s="378"/>
      <c r="D241" s="470" t="s">
        <v>292</v>
      </c>
      <c r="E241" s="472"/>
      <c r="F241" s="478"/>
      <c r="J241" s="381" t="s">
        <v>393</v>
      </c>
      <c r="K241" s="1103">
        <f>VLOOKUP(J241,Mapping!E:F,2,FALSE)</f>
        <v>0</v>
      </c>
      <c r="L241" s="1099">
        <f>VLOOKUP($J241,Mapping!E:G,3,FALSE)</f>
        <v>0</v>
      </c>
      <c r="M241" s="1098" t="s">
        <v>1700</v>
      </c>
      <c r="O241" s="277"/>
      <c r="P241" s="278"/>
    </row>
    <row r="242" spans="1:16" ht="13.95" customHeight="1" thickBot="1" x14ac:dyDescent="0.3">
      <c r="A242" s="169"/>
      <c r="B242" s="273"/>
      <c r="C242" s="378"/>
      <c r="D242" s="470" t="s">
        <v>293</v>
      </c>
      <c r="E242" s="472"/>
      <c r="F242" s="478"/>
      <c r="J242" s="381" t="s">
        <v>394</v>
      </c>
      <c r="K242" s="1103">
        <f>VLOOKUP(J242,Mapping!E:F,2,FALSE)</f>
        <v>0</v>
      </c>
      <c r="L242" s="1099">
        <f>VLOOKUP($J242,Mapping!E:G,3,FALSE)</f>
        <v>0</v>
      </c>
      <c r="M242" s="1098" t="s">
        <v>1700</v>
      </c>
      <c r="O242" s="277"/>
      <c r="P242" s="278"/>
    </row>
    <row r="243" spans="1:16" ht="13.95" customHeight="1" thickBot="1" x14ac:dyDescent="0.3">
      <c r="A243" s="169"/>
      <c r="B243" s="273"/>
      <c r="C243" s="378"/>
      <c r="D243" s="470" t="s">
        <v>294</v>
      </c>
      <c r="E243" s="472"/>
      <c r="F243" s="478"/>
      <c r="J243" s="381" t="s">
        <v>395</v>
      </c>
      <c r="K243" s="1103">
        <f>VLOOKUP(J243,Mapping!E:F,2,FALSE)</f>
        <v>0</v>
      </c>
      <c r="L243" s="1099">
        <f>VLOOKUP($J243,Mapping!E:G,3,FALSE)</f>
        <v>0</v>
      </c>
      <c r="M243" s="1098" t="s">
        <v>1700</v>
      </c>
      <c r="O243" s="277"/>
      <c r="P243" s="278"/>
    </row>
    <row r="244" spans="1:16" ht="13.95" customHeight="1" thickBot="1" x14ac:dyDescent="0.3">
      <c r="A244" s="169"/>
      <c r="B244" s="273"/>
      <c r="C244" s="378"/>
      <c r="D244" s="470" t="s">
        <v>295</v>
      </c>
      <c r="E244" s="472"/>
      <c r="F244" s="478"/>
      <c r="J244" s="381" t="s">
        <v>396</v>
      </c>
      <c r="K244" s="1103">
        <f>VLOOKUP(J244,Mapping!E:F,2,FALSE)</f>
        <v>0</v>
      </c>
      <c r="L244" s="1099">
        <f>VLOOKUP($J244,Mapping!E:G,3,FALSE)</f>
        <v>0</v>
      </c>
      <c r="M244" s="1098" t="s">
        <v>1700</v>
      </c>
      <c r="O244" s="277"/>
      <c r="P244" s="278"/>
    </row>
    <row r="245" spans="1:16" ht="13.95" customHeight="1" thickBot="1" x14ac:dyDescent="0.3">
      <c r="A245" s="169"/>
      <c r="B245" s="273"/>
      <c r="C245" s="378"/>
      <c r="D245" s="470" t="s">
        <v>296</v>
      </c>
      <c r="E245" s="472"/>
      <c r="F245" s="478"/>
      <c r="J245" s="381" t="s">
        <v>397</v>
      </c>
      <c r="K245" s="1103">
        <f>VLOOKUP(J245,Mapping!E:F,2,FALSE)</f>
        <v>0</v>
      </c>
      <c r="L245" s="1099">
        <f>VLOOKUP($J245,Mapping!E:G,3,FALSE)</f>
        <v>0</v>
      </c>
      <c r="M245" s="1098" t="s">
        <v>1700</v>
      </c>
      <c r="O245" s="277"/>
      <c r="P245" s="278"/>
    </row>
    <row r="246" spans="1:16" ht="13.95" customHeight="1" thickBot="1" x14ac:dyDescent="0.3">
      <c r="A246" s="169"/>
      <c r="B246" s="273"/>
      <c r="C246" s="378"/>
      <c r="D246" s="470" t="s">
        <v>297</v>
      </c>
      <c r="E246" s="472"/>
      <c r="F246" s="478"/>
      <c r="J246" s="381" t="s">
        <v>398</v>
      </c>
      <c r="K246" s="1103">
        <f>VLOOKUP(J246,Mapping!E:F,2,FALSE)</f>
        <v>0</v>
      </c>
      <c r="L246" s="1099">
        <f>VLOOKUP($J246,Mapping!E:G,3,FALSE)</f>
        <v>0</v>
      </c>
      <c r="M246" s="1098" t="s">
        <v>1700</v>
      </c>
      <c r="O246" s="277"/>
      <c r="P246" s="278"/>
    </row>
    <row r="247" spans="1:16" ht="13.95" customHeight="1" thickBot="1" x14ac:dyDescent="0.3">
      <c r="A247" s="169"/>
      <c r="B247" s="273"/>
      <c r="C247" s="378"/>
      <c r="D247" s="470" t="s">
        <v>298</v>
      </c>
      <c r="E247" s="472"/>
      <c r="F247" s="478"/>
      <c r="J247" s="381" t="s">
        <v>399</v>
      </c>
      <c r="K247" s="1103">
        <f>VLOOKUP(J247,Mapping!E:F,2,FALSE)</f>
        <v>0</v>
      </c>
      <c r="L247" s="1099">
        <f>VLOOKUP($J247,Mapping!E:G,3,FALSE)</f>
        <v>0</v>
      </c>
      <c r="M247" s="1098" t="s">
        <v>1700</v>
      </c>
      <c r="O247" s="277"/>
      <c r="P247" s="278"/>
    </row>
    <row r="248" spans="1:16" ht="13.95" customHeight="1" thickBot="1" x14ac:dyDescent="0.3">
      <c r="A248" s="169"/>
      <c r="B248" s="273"/>
      <c r="C248" s="378"/>
      <c r="D248" s="470" t="s">
        <v>299</v>
      </c>
      <c r="E248" s="472"/>
      <c r="F248" s="478"/>
      <c r="J248" s="381" t="s">
        <v>400</v>
      </c>
      <c r="K248" s="1103">
        <f>VLOOKUP(J248,Mapping!E:F,2,FALSE)</f>
        <v>0</v>
      </c>
      <c r="L248" s="1099">
        <f>VLOOKUP($J248,Mapping!E:G,3,FALSE)</f>
        <v>0</v>
      </c>
      <c r="M248" s="1098" t="s">
        <v>1700</v>
      </c>
      <c r="O248" s="277"/>
      <c r="P248" s="278"/>
    </row>
    <row r="249" spans="1:16" ht="13.95" customHeight="1" thickBot="1" x14ac:dyDescent="0.3">
      <c r="A249" s="169"/>
      <c r="B249" s="273"/>
      <c r="C249" s="378"/>
      <c r="D249" s="470" t="s">
        <v>300</v>
      </c>
      <c r="E249" s="472"/>
      <c r="F249" s="478"/>
      <c r="J249" s="381" t="s">
        <v>401</v>
      </c>
      <c r="K249" s="1103">
        <f>VLOOKUP(J249,Mapping!E:F,2,FALSE)</f>
        <v>0</v>
      </c>
      <c r="L249" s="1099">
        <f>VLOOKUP($J249,Mapping!E:G,3,FALSE)</f>
        <v>0</v>
      </c>
      <c r="M249" s="1098" t="s">
        <v>1699</v>
      </c>
      <c r="O249" s="277"/>
      <c r="P249" s="278"/>
    </row>
    <row r="250" spans="1:16" ht="13.95" customHeight="1" thickBot="1" x14ac:dyDescent="0.3">
      <c r="A250" s="169"/>
      <c r="B250" s="273"/>
      <c r="C250" s="378"/>
      <c r="D250" s="470" t="s">
        <v>301</v>
      </c>
      <c r="E250" s="472"/>
      <c r="F250" s="478"/>
      <c r="J250" s="381" t="s">
        <v>402</v>
      </c>
      <c r="K250" s="1103">
        <f>VLOOKUP(J250,Mapping!E:F,2,FALSE)</f>
        <v>0</v>
      </c>
      <c r="L250" s="1099">
        <f>VLOOKUP($J250,Mapping!E:G,3,FALSE)</f>
        <v>0</v>
      </c>
      <c r="M250" s="1098" t="s">
        <v>1700</v>
      </c>
      <c r="O250" s="277"/>
      <c r="P250" s="278"/>
    </row>
    <row r="251" spans="1:16" ht="13.95" customHeight="1" thickBot="1" x14ac:dyDescent="0.3">
      <c r="A251" s="169"/>
      <c r="B251" s="273"/>
      <c r="C251" s="378"/>
      <c r="D251" s="470" t="s">
        <v>302</v>
      </c>
      <c r="E251" s="472"/>
      <c r="F251" s="478"/>
      <c r="J251" s="381" t="s">
        <v>403</v>
      </c>
      <c r="K251" s="1103">
        <f>VLOOKUP(J251,Mapping!E:F,2,FALSE)</f>
        <v>0</v>
      </c>
      <c r="L251" s="1099">
        <f>VLOOKUP($J251,Mapping!E:G,3,FALSE)</f>
        <v>0</v>
      </c>
      <c r="M251" s="1098" t="s">
        <v>1700</v>
      </c>
      <c r="O251" s="277"/>
      <c r="P251" s="278"/>
    </row>
    <row r="252" spans="1:16" ht="13.95" customHeight="1" thickBot="1" x14ac:dyDescent="0.3">
      <c r="A252" s="169"/>
      <c r="B252" s="273"/>
      <c r="C252" s="378"/>
      <c r="D252" s="470" t="s">
        <v>303</v>
      </c>
      <c r="E252" s="472"/>
      <c r="F252" s="478"/>
      <c r="J252" s="381" t="s">
        <v>404</v>
      </c>
      <c r="K252" s="1103">
        <f>VLOOKUP(J252,Mapping!E:F,2,FALSE)</f>
        <v>0</v>
      </c>
      <c r="L252" s="1099">
        <f>VLOOKUP($J252,Mapping!E:G,3,FALSE)</f>
        <v>0</v>
      </c>
      <c r="M252" s="1098" t="s">
        <v>1699</v>
      </c>
      <c r="O252" s="277"/>
      <c r="P252" s="278"/>
    </row>
    <row r="253" spans="1:16" ht="13.95" customHeight="1" thickBot="1" x14ac:dyDescent="0.3">
      <c r="A253" s="169"/>
      <c r="B253" s="273"/>
      <c r="C253" s="378"/>
      <c r="D253" s="470" t="s">
        <v>304</v>
      </c>
      <c r="E253" s="472"/>
      <c r="F253" s="478"/>
      <c r="J253" s="381" t="s">
        <v>253</v>
      </c>
      <c r="K253" s="1103">
        <f>VLOOKUP(J253,Mapping!E:F,2,FALSE)</f>
        <v>0</v>
      </c>
      <c r="L253" s="1099">
        <f>VLOOKUP($J253,Mapping!E:G,3,FALSE)</f>
        <v>0</v>
      </c>
      <c r="M253" s="1098" t="s">
        <v>1700</v>
      </c>
      <c r="O253" s="277"/>
      <c r="P253" s="278"/>
    </row>
    <row r="254" spans="1:16" ht="13.95" customHeight="1" thickBot="1" x14ac:dyDescent="0.3">
      <c r="A254" s="169"/>
      <c r="B254" s="273"/>
      <c r="C254" s="378"/>
      <c r="D254" s="470" t="s">
        <v>305</v>
      </c>
      <c r="E254" s="472"/>
      <c r="F254" s="478"/>
      <c r="J254" s="381" t="s">
        <v>254</v>
      </c>
      <c r="K254" s="1103">
        <f>VLOOKUP(J254,Mapping!E:F,2,FALSE)</f>
        <v>0</v>
      </c>
      <c r="L254" s="1099">
        <f>VLOOKUP($J254,Mapping!E:G,3,FALSE)</f>
        <v>0</v>
      </c>
      <c r="M254" s="1098" t="s">
        <v>1700</v>
      </c>
      <c r="O254" s="277"/>
      <c r="P254" s="278"/>
    </row>
    <row r="255" spans="1:16" ht="13.95" customHeight="1" thickBot="1" x14ac:dyDescent="0.3">
      <c r="A255" s="169"/>
      <c r="B255" s="273"/>
      <c r="C255" s="378"/>
      <c r="D255" s="470" t="s">
        <v>306</v>
      </c>
      <c r="E255" s="472"/>
      <c r="F255" s="478"/>
      <c r="J255" s="381" t="s">
        <v>255</v>
      </c>
      <c r="K255" s="1103">
        <f>VLOOKUP(J255,Mapping!E:F,2,FALSE)</f>
        <v>0</v>
      </c>
      <c r="L255" s="1099">
        <f>VLOOKUP($J255,Mapping!E:G,3,FALSE)</f>
        <v>0</v>
      </c>
      <c r="M255" s="1098" t="s">
        <v>1700</v>
      </c>
      <c r="O255" s="277"/>
      <c r="P255" s="278"/>
    </row>
    <row r="256" spans="1:16" ht="13.95" customHeight="1" thickBot="1" x14ac:dyDescent="0.3">
      <c r="A256" s="169"/>
      <c r="B256" s="273"/>
      <c r="C256" s="378"/>
      <c r="D256" s="470" t="s">
        <v>307</v>
      </c>
      <c r="E256" s="472"/>
      <c r="F256" s="478"/>
      <c r="J256" s="381" t="s">
        <v>256</v>
      </c>
      <c r="K256" s="1103">
        <f>VLOOKUP(J256,Mapping!E:F,2,FALSE)</f>
        <v>0</v>
      </c>
      <c r="L256" s="1099">
        <f>VLOOKUP($J256,Mapping!E:G,3,FALSE)</f>
        <v>0</v>
      </c>
      <c r="M256" s="1098" t="s">
        <v>1700</v>
      </c>
      <c r="O256" s="277"/>
      <c r="P256" s="278"/>
    </row>
    <row r="257" spans="1:16" ht="13.95" customHeight="1" thickBot="1" x14ac:dyDescent="0.3">
      <c r="A257" s="169"/>
      <c r="B257" s="273"/>
      <c r="C257" s="378"/>
      <c r="D257" s="470" t="s">
        <v>308</v>
      </c>
      <c r="E257" s="472"/>
      <c r="F257" s="478"/>
      <c r="J257" s="381" t="s">
        <v>257</v>
      </c>
      <c r="K257" s="1103">
        <f>VLOOKUP(J257,Mapping!E:F,2,FALSE)</f>
        <v>0</v>
      </c>
      <c r="L257" s="1099">
        <f>VLOOKUP($J257,Mapping!E:G,3,FALSE)</f>
        <v>0</v>
      </c>
      <c r="M257" s="1098" t="s">
        <v>1700</v>
      </c>
      <c r="O257" s="277"/>
      <c r="P257" s="278"/>
    </row>
    <row r="258" spans="1:16" ht="13.95" customHeight="1" thickBot="1" x14ac:dyDescent="0.3">
      <c r="A258" s="169"/>
      <c r="B258" s="273"/>
      <c r="C258" s="378"/>
      <c r="D258" s="470" t="s">
        <v>309</v>
      </c>
      <c r="E258" s="472"/>
      <c r="F258" s="478"/>
      <c r="J258" s="381" t="s">
        <v>258</v>
      </c>
      <c r="K258" s="1103">
        <f>VLOOKUP(J258,Mapping!E:F,2,FALSE)</f>
        <v>0</v>
      </c>
      <c r="L258" s="1099">
        <f>VLOOKUP($J258,Mapping!E:G,3,FALSE)</f>
        <v>0</v>
      </c>
      <c r="M258" s="1098" t="s">
        <v>1700</v>
      </c>
      <c r="O258" s="277"/>
      <c r="P258" s="278"/>
    </row>
    <row r="259" spans="1:16" ht="13.95" customHeight="1" thickBot="1" x14ac:dyDescent="0.3">
      <c r="A259" s="169"/>
      <c r="B259" s="273"/>
      <c r="C259" s="378"/>
      <c r="D259" s="470" t="s">
        <v>310</v>
      </c>
      <c r="E259" s="472"/>
      <c r="F259" s="478"/>
      <c r="J259" s="381" t="s">
        <v>259</v>
      </c>
      <c r="K259" s="1103">
        <f>VLOOKUP(J259,Mapping!E:F,2,FALSE)</f>
        <v>0</v>
      </c>
      <c r="L259" s="1099">
        <f>VLOOKUP($J259,Mapping!E:G,3,FALSE)</f>
        <v>0</v>
      </c>
      <c r="M259" s="1098" t="s">
        <v>1700</v>
      </c>
      <c r="O259" s="277"/>
      <c r="P259" s="278"/>
    </row>
    <row r="260" spans="1:16" ht="13.95" customHeight="1" thickBot="1" x14ac:dyDescent="0.3">
      <c r="A260" s="169"/>
      <c r="B260" s="273"/>
      <c r="C260" s="378"/>
      <c r="D260" s="470" t="s">
        <v>311</v>
      </c>
      <c r="E260" s="472"/>
      <c r="F260" s="478"/>
      <c r="J260" s="381" t="s">
        <v>260</v>
      </c>
      <c r="K260" s="1103">
        <f>VLOOKUP(J260,Mapping!E:F,2,FALSE)</f>
        <v>0</v>
      </c>
      <c r="L260" s="1099">
        <f>VLOOKUP($J260,Mapping!E:G,3,FALSE)</f>
        <v>0</v>
      </c>
      <c r="M260" s="1098" t="s">
        <v>1700</v>
      </c>
      <c r="O260" s="277"/>
      <c r="P260" s="278"/>
    </row>
    <row r="261" spans="1:16" ht="13.95" customHeight="1" thickBot="1" x14ac:dyDescent="0.3">
      <c r="A261" s="169"/>
      <c r="B261" s="273"/>
      <c r="C261" s="378"/>
      <c r="D261" s="470" t="s">
        <v>312</v>
      </c>
      <c r="E261" s="472"/>
      <c r="F261" s="478"/>
      <c r="J261" s="381" t="s">
        <v>261</v>
      </c>
      <c r="K261" s="1103">
        <f>VLOOKUP(J261,Mapping!E:F,2,FALSE)</f>
        <v>0</v>
      </c>
      <c r="L261" s="1099">
        <f>VLOOKUP($J261,Mapping!E:G,3,FALSE)</f>
        <v>0</v>
      </c>
      <c r="M261" s="1098" t="s">
        <v>1700</v>
      </c>
      <c r="O261" s="277"/>
      <c r="P261" s="278"/>
    </row>
    <row r="262" spans="1:16" ht="13.95" customHeight="1" thickBot="1" x14ac:dyDescent="0.3">
      <c r="A262" s="169"/>
      <c r="B262" s="273"/>
      <c r="C262" s="378"/>
      <c r="D262" s="470" t="s">
        <v>313</v>
      </c>
      <c r="E262" s="472"/>
      <c r="F262" s="478"/>
      <c r="J262" s="381" t="s">
        <v>262</v>
      </c>
      <c r="K262" s="1103">
        <f>VLOOKUP(J262,Mapping!E:F,2,FALSE)</f>
        <v>0</v>
      </c>
      <c r="L262" s="1099">
        <f>VLOOKUP($J262,Mapping!E:G,3,FALSE)</f>
        <v>0</v>
      </c>
      <c r="M262" s="1098" t="s">
        <v>1700</v>
      </c>
      <c r="O262" s="277"/>
      <c r="P262" s="278"/>
    </row>
    <row r="263" spans="1:16" ht="13.95" customHeight="1" thickBot="1" x14ac:dyDescent="0.3">
      <c r="A263" s="169"/>
      <c r="B263" s="273"/>
      <c r="C263" s="378"/>
      <c r="D263" s="470" t="s">
        <v>314</v>
      </c>
      <c r="E263" s="472"/>
      <c r="F263" s="478"/>
      <c r="J263" s="381" t="s">
        <v>263</v>
      </c>
      <c r="K263" s="1103">
        <f>VLOOKUP(J263,Mapping!E:F,2,FALSE)</f>
        <v>0</v>
      </c>
      <c r="L263" s="1099">
        <f>VLOOKUP($J263,Mapping!E:G,3,FALSE)</f>
        <v>0</v>
      </c>
      <c r="M263" s="1098" t="s">
        <v>1700</v>
      </c>
      <c r="O263" s="277"/>
      <c r="P263" s="278"/>
    </row>
    <row r="264" spans="1:16" ht="13.95" customHeight="1" thickBot="1" x14ac:dyDescent="0.3">
      <c r="A264" s="169"/>
      <c r="B264" s="273"/>
      <c r="C264" s="378"/>
      <c r="D264" s="470" t="s">
        <v>315</v>
      </c>
      <c r="E264" s="472"/>
      <c r="F264" s="478"/>
      <c r="J264" s="381" t="s">
        <v>264</v>
      </c>
      <c r="K264" s="1103">
        <f>VLOOKUP(J264,Mapping!E:F,2,FALSE)</f>
        <v>0</v>
      </c>
      <c r="L264" s="1099">
        <f>VLOOKUP($J264,Mapping!E:G,3,FALSE)</f>
        <v>0</v>
      </c>
      <c r="M264" s="1098" t="s">
        <v>1700</v>
      </c>
      <c r="O264" s="277"/>
      <c r="P264" s="278"/>
    </row>
    <row r="265" spans="1:16" ht="13.95" customHeight="1" thickBot="1" x14ac:dyDescent="0.3">
      <c r="A265" s="169"/>
      <c r="B265" s="273"/>
      <c r="C265" s="378"/>
      <c r="D265" s="470" t="s">
        <v>316</v>
      </c>
      <c r="E265" s="472"/>
      <c r="F265" s="478"/>
      <c r="J265" s="381" t="s">
        <v>265</v>
      </c>
      <c r="K265" s="1103">
        <f>VLOOKUP(J265,Mapping!E:F,2,FALSE)</f>
        <v>0</v>
      </c>
      <c r="L265" s="1099">
        <f>VLOOKUP($J265,Mapping!E:G,3,FALSE)</f>
        <v>0</v>
      </c>
      <c r="M265" s="1098" t="s">
        <v>1700</v>
      </c>
      <c r="O265" s="277"/>
      <c r="P265" s="278"/>
    </row>
    <row r="266" spans="1:16" ht="13.95" customHeight="1" thickBot="1" x14ac:dyDescent="0.3">
      <c r="A266" s="169"/>
      <c r="B266" s="273"/>
      <c r="C266" s="378"/>
      <c r="D266" s="470" t="s">
        <v>317</v>
      </c>
      <c r="E266" s="472"/>
      <c r="F266" s="478"/>
      <c r="J266" s="381" t="s">
        <v>266</v>
      </c>
      <c r="K266" s="1103">
        <f>VLOOKUP(J266,Mapping!E:F,2,FALSE)</f>
        <v>0</v>
      </c>
      <c r="L266" s="1099">
        <f>VLOOKUP($J266,Mapping!E:G,3,FALSE)</f>
        <v>0</v>
      </c>
      <c r="M266" s="1098" t="s">
        <v>1700</v>
      </c>
      <c r="O266" s="277"/>
      <c r="P266" s="278"/>
    </row>
    <row r="267" spans="1:16" ht="13.95" customHeight="1" thickBot="1" x14ac:dyDescent="0.3">
      <c r="A267" s="169"/>
      <c r="B267" s="273"/>
      <c r="C267" s="378"/>
      <c r="D267" s="470" t="s">
        <v>318</v>
      </c>
      <c r="E267" s="472"/>
      <c r="F267" s="478"/>
      <c r="J267" s="381" t="s">
        <v>267</v>
      </c>
      <c r="K267" s="1103">
        <f>VLOOKUP(J267,Mapping!E:F,2,FALSE)</f>
        <v>0</v>
      </c>
      <c r="L267" s="1099">
        <f>VLOOKUP($J267,Mapping!E:G,3,FALSE)</f>
        <v>0</v>
      </c>
      <c r="M267" s="1098" t="s">
        <v>1700</v>
      </c>
      <c r="O267" s="277"/>
      <c r="P267" s="278"/>
    </row>
    <row r="268" spans="1:16" ht="13.95" customHeight="1" thickBot="1" x14ac:dyDescent="0.3">
      <c r="A268" s="169"/>
      <c r="B268" s="273"/>
      <c r="C268" s="378"/>
      <c r="D268" s="470" t="s">
        <v>319</v>
      </c>
      <c r="E268" s="472"/>
      <c r="F268" s="478"/>
      <c r="J268" s="381" t="s">
        <v>268</v>
      </c>
      <c r="K268" s="1103">
        <f>VLOOKUP(J268,Mapping!E:F,2,FALSE)</f>
        <v>0</v>
      </c>
      <c r="L268" s="1099">
        <f>VLOOKUP($J268,Mapping!E:G,3,FALSE)</f>
        <v>0</v>
      </c>
      <c r="M268" s="1098" t="s">
        <v>1700</v>
      </c>
      <c r="O268" s="277"/>
      <c r="P268" s="278"/>
    </row>
    <row r="269" spans="1:16" ht="13.95" customHeight="1" thickBot="1" x14ac:dyDescent="0.3">
      <c r="A269" s="169"/>
      <c r="B269" s="273"/>
      <c r="C269" s="378"/>
      <c r="D269" s="470" t="s">
        <v>320</v>
      </c>
      <c r="E269" s="472"/>
      <c r="F269" s="478"/>
      <c r="J269" s="381" t="s">
        <v>269</v>
      </c>
      <c r="K269" s="1103">
        <f>VLOOKUP(J269,Mapping!E:F,2,FALSE)</f>
        <v>0</v>
      </c>
      <c r="L269" s="1099">
        <f>VLOOKUP($J269,Mapping!E:G,3,FALSE)</f>
        <v>0</v>
      </c>
      <c r="M269" s="1098" t="s">
        <v>1700</v>
      </c>
      <c r="O269" s="277"/>
      <c r="P269" s="278"/>
    </row>
    <row r="270" spans="1:16" ht="13.95" customHeight="1" thickBot="1" x14ac:dyDescent="0.3">
      <c r="A270" s="169"/>
      <c r="B270" s="273"/>
      <c r="C270" s="378"/>
      <c r="D270" s="470" t="s">
        <v>321</v>
      </c>
      <c r="E270" s="472"/>
      <c r="F270" s="478"/>
      <c r="J270" s="381" t="s">
        <v>270</v>
      </c>
      <c r="K270" s="1103">
        <f>VLOOKUP(J270,Mapping!E:F,2,FALSE)</f>
        <v>0</v>
      </c>
      <c r="L270" s="1099">
        <f>VLOOKUP($J270,Mapping!E:G,3,FALSE)</f>
        <v>0</v>
      </c>
      <c r="M270" s="1098" t="s">
        <v>1700</v>
      </c>
      <c r="O270" s="277"/>
      <c r="P270" s="278"/>
    </row>
    <row r="271" spans="1:16" ht="13.95" customHeight="1" thickBot="1" x14ac:dyDescent="0.3">
      <c r="A271" s="169"/>
      <c r="B271" s="273"/>
      <c r="C271" s="378"/>
      <c r="D271" s="470" t="s">
        <v>322</v>
      </c>
      <c r="E271" s="472"/>
      <c r="F271" s="478"/>
      <c r="J271" s="381" t="s">
        <v>271</v>
      </c>
      <c r="K271" s="1103">
        <f>VLOOKUP(J271,Mapping!E:F,2,FALSE)</f>
        <v>0</v>
      </c>
      <c r="L271" s="1099">
        <f>VLOOKUP($J271,Mapping!E:G,3,FALSE)</f>
        <v>0</v>
      </c>
      <c r="M271" s="1098" t="s">
        <v>1700</v>
      </c>
      <c r="O271" s="277"/>
      <c r="P271" s="278"/>
    </row>
    <row r="272" spans="1:16" ht="13.95" customHeight="1" thickBot="1" x14ac:dyDescent="0.3">
      <c r="A272" s="169"/>
      <c r="B272" s="273"/>
      <c r="C272" s="378"/>
      <c r="D272" s="470" t="s">
        <v>323</v>
      </c>
      <c r="E272" s="472"/>
      <c r="F272" s="478"/>
      <c r="J272" s="381" t="s">
        <v>272</v>
      </c>
      <c r="K272" s="1103">
        <f>VLOOKUP(J272,Mapping!E:F,2,FALSE)</f>
        <v>0</v>
      </c>
      <c r="L272" s="1099">
        <f>VLOOKUP($J272,Mapping!E:G,3,FALSE)</f>
        <v>0</v>
      </c>
      <c r="M272" s="1098" t="s">
        <v>1700</v>
      </c>
      <c r="O272" s="277"/>
      <c r="P272" s="278"/>
    </row>
    <row r="273" spans="1:16" ht="13.95" customHeight="1" thickBot="1" x14ac:dyDescent="0.3">
      <c r="A273" s="169"/>
      <c r="B273" s="273"/>
      <c r="C273" s="378"/>
      <c r="D273" s="470" t="s">
        <v>324</v>
      </c>
      <c r="E273" s="472"/>
      <c r="F273" s="478"/>
      <c r="J273" s="381" t="s">
        <v>273</v>
      </c>
      <c r="K273" s="1103">
        <f>VLOOKUP(J273,Mapping!E:F,2,FALSE)</f>
        <v>0</v>
      </c>
      <c r="L273" s="1099">
        <f>VLOOKUP($J273,Mapping!E:G,3,FALSE)</f>
        <v>0</v>
      </c>
      <c r="M273" s="1098" t="s">
        <v>1700</v>
      </c>
      <c r="O273" s="277"/>
      <c r="P273" s="278"/>
    </row>
    <row r="274" spans="1:16" ht="13.95" customHeight="1" thickBot="1" x14ac:dyDescent="0.3">
      <c r="A274" s="169"/>
      <c r="B274" s="273"/>
      <c r="C274" s="378"/>
      <c r="D274" s="470" t="s">
        <v>325</v>
      </c>
      <c r="E274" s="472"/>
      <c r="F274" s="478"/>
      <c r="J274" s="381" t="s">
        <v>274</v>
      </c>
      <c r="K274" s="1103">
        <f>VLOOKUP(J274,Mapping!E:F,2,FALSE)</f>
        <v>0</v>
      </c>
      <c r="L274" s="1099">
        <f>VLOOKUP($J274,Mapping!E:G,3,FALSE)</f>
        <v>0</v>
      </c>
      <c r="M274" s="1098" t="s">
        <v>1700</v>
      </c>
      <c r="O274" s="277"/>
      <c r="P274" s="278"/>
    </row>
    <row r="275" spans="1:16" ht="13.95" customHeight="1" thickBot="1" x14ac:dyDescent="0.3">
      <c r="A275" s="169"/>
      <c r="B275" s="273"/>
      <c r="C275" s="378"/>
      <c r="D275" s="470" t="s">
        <v>326</v>
      </c>
      <c r="E275" s="472"/>
      <c r="F275" s="478"/>
      <c r="J275" s="381" t="s">
        <v>275</v>
      </c>
      <c r="K275" s="1103">
        <f>VLOOKUP(J275,Mapping!E:F,2,FALSE)</f>
        <v>0</v>
      </c>
      <c r="L275" s="1099">
        <f>VLOOKUP($J275,Mapping!E:G,3,FALSE)</f>
        <v>0</v>
      </c>
      <c r="M275" s="1098" t="s">
        <v>1700</v>
      </c>
      <c r="O275" s="277"/>
      <c r="P275" s="278"/>
    </row>
    <row r="276" spans="1:16" ht="13.95" customHeight="1" thickBot="1" x14ac:dyDescent="0.3">
      <c r="A276" s="169"/>
      <c r="B276" s="273"/>
      <c r="C276" s="378"/>
      <c r="D276" s="470" t="s">
        <v>327</v>
      </c>
      <c r="E276" s="472"/>
      <c r="F276" s="478"/>
      <c r="J276" s="381" t="s">
        <v>276</v>
      </c>
      <c r="K276" s="1103">
        <f>VLOOKUP(J276,Mapping!E:F,2,FALSE)</f>
        <v>0</v>
      </c>
      <c r="L276" s="1099">
        <f>VLOOKUP($J276,Mapping!E:G,3,FALSE)</f>
        <v>0</v>
      </c>
      <c r="M276" s="1098" t="s">
        <v>1700</v>
      </c>
      <c r="O276" s="277"/>
      <c r="P276" s="278"/>
    </row>
    <row r="277" spans="1:16" ht="13.95" customHeight="1" thickBot="1" x14ac:dyDescent="0.3">
      <c r="A277" s="169"/>
      <c r="B277" s="273"/>
      <c r="C277" s="378"/>
      <c r="D277" s="470" t="s">
        <v>328</v>
      </c>
      <c r="E277" s="472"/>
      <c r="F277" s="478"/>
      <c r="J277" s="381" t="s">
        <v>278</v>
      </c>
      <c r="K277" s="1103">
        <f>VLOOKUP(J277,Mapping!E:F,2,FALSE)</f>
        <v>0</v>
      </c>
      <c r="L277" s="1099">
        <f>VLOOKUP($J277,Mapping!E:G,3,FALSE)</f>
        <v>0</v>
      </c>
      <c r="M277" s="1098" t="s">
        <v>1700</v>
      </c>
      <c r="O277" s="277"/>
      <c r="P277" s="278"/>
    </row>
    <row r="278" spans="1:16" ht="13.95" customHeight="1" thickBot="1" x14ac:dyDescent="0.3">
      <c r="A278" s="169"/>
      <c r="B278" s="273"/>
      <c r="C278" s="378"/>
      <c r="D278" s="470" t="s">
        <v>329</v>
      </c>
      <c r="E278" s="472"/>
      <c r="F278" s="478"/>
      <c r="J278" s="381" t="s">
        <v>1060</v>
      </c>
      <c r="K278" s="1103">
        <f>VLOOKUP(J278,Mapping!E:F,2,FALSE)</f>
        <v>0</v>
      </c>
      <c r="L278" s="1099">
        <f>VLOOKUP($J278,Mapping!E:G,3,FALSE)</f>
        <v>0</v>
      </c>
      <c r="M278" s="1098" t="s">
        <v>1700</v>
      </c>
      <c r="O278" s="277"/>
      <c r="P278" s="278"/>
    </row>
    <row r="279" spans="1:16" ht="13.95" customHeight="1" thickBot="1" x14ac:dyDescent="0.3">
      <c r="A279" s="169"/>
      <c r="B279" s="273"/>
      <c r="C279" s="378"/>
      <c r="D279" s="470" t="s">
        <v>330</v>
      </c>
      <c r="E279" s="472"/>
      <c r="F279" s="478"/>
      <c r="J279" s="381" t="s">
        <v>280</v>
      </c>
      <c r="K279" s="1103">
        <f>VLOOKUP(J279,Mapping!E:F,2,FALSE)</f>
        <v>0</v>
      </c>
      <c r="L279" s="1099">
        <f>VLOOKUP($J279,Mapping!E:G,3,FALSE)</f>
        <v>0</v>
      </c>
      <c r="M279" s="1098" t="s">
        <v>1700</v>
      </c>
      <c r="O279" s="277"/>
      <c r="P279" s="278"/>
    </row>
    <row r="280" spans="1:16" ht="13.95" customHeight="1" thickBot="1" x14ac:dyDescent="0.3">
      <c r="A280" s="169"/>
      <c r="B280" s="273"/>
      <c r="C280" s="378"/>
      <c r="D280" s="470" t="s">
        <v>331</v>
      </c>
      <c r="E280" s="472"/>
      <c r="F280" s="478"/>
      <c r="J280" s="381" t="s">
        <v>281</v>
      </c>
      <c r="K280" s="1103">
        <f>VLOOKUP(J280,Mapping!E:F,2,FALSE)</f>
        <v>0</v>
      </c>
      <c r="L280" s="1099">
        <f>VLOOKUP($J280,Mapping!E:G,3,FALSE)</f>
        <v>0</v>
      </c>
      <c r="M280" s="1098" t="s">
        <v>1700</v>
      </c>
      <c r="O280" s="277"/>
      <c r="P280" s="278"/>
    </row>
    <row r="281" spans="1:16" ht="13.95" customHeight="1" thickBot="1" x14ac:dyDescent="0.3">
      <c r="A281" s="169"/>
      <c r="B281" s="273"/>
      <c r="C281" s="378"/>
      <c r="D281" s="470" t="s">
        <v>332</v>
      </c>
      <c r="E281" s="472"/>
      <c r="F281" s="478"/>
      <c r="J281" s="381" t="s">
        <v>282</v>
      </c>
      <c r="K281" s="1103">
        <f>VLOOKUP(J281,Mapping!E:F,2,FALSE)</f>
        <v>0</v>
      </c>
      <c r="L281" s="1099">
        <f>VLOOKUP($J281,Mapping!E:G,3,FALSE)</f>
        <v>0</v>
      </c>
      <c r="M281" s="1098" t="s">
        <v>1691</v>
      </c>
      <c r="O281" s="277"/>
      <c r="P281" s="278"/>
    </row>
    <row r="282" spans="1:16" ht="13.95" customHeight="1" thickBot="1" x14ac:dyDescent="0.3">
      <c r="A282" s="169"/>
      <c r="B282" s="273"/>
      <c r="C282" s="378"/>
      <c r="D282" s="470" t="s">
        <v>333</v>
      </c>
      <c r="E282" s="472"/>
      <c r="F282" s="478"/>
      <c r="J282" s="381" t="s">
        <v>283</v>
      </c>
      <c r="K282" s="1103">
        <f>VLOOKUP(J282,Mapping!E:F,2,FALSE)</f>
        <v>0</v>
      </c>
      <c r="L282" s="1099">
        <f>VLOOKUP($J282,Mapping!E:G,3,FALSE)</f>
        <v>0</v>
      </c>
      <c r="M282" s="1098" t="s">
        <v>1700</v>
      </c>
      <c r="O282" s="277"/>
      <c r="P282" s="278"/>
    </row>
    <row r="283" spans="1:16" ht="13.95" customHeight="1" thickBot="1" x14ac:dyDescent="0.3">
      <c r="A283" s="169"/>
      <c r="B283" s="273"/>
      <c r="C283" s="378"/>
      <c r="D283" s="470" t="s">
        <v>334</v>
      </c>
      <c r="E283" s="472"/>
      <c r="F283" s="478"/>
      <c r="J283" s="381" t="s">
        <v>284</v>
      </c>
      <c r="K283" s="1103">
        <f>VLOOKUP(J283,Mapping!E:F,2,FALSE)</f>
        <v>0</v>
      </c>
      <c r="L283" s="1099">
        <f>VLOOKUP($J283,Mapping!E:G,3,FALSE)</f>
        <v>0</v>
      </c>
      <c r="M283" s="1098" t="s">
        <v>1700</v>
      </c>
      <c r="O283" s="277"/>
      <c r="P283" s="278"/>
    </row>
    <row r="284" spans="1:16" ht="13.95" customHeight="1" thickBot="1" x14ac:dyDescent="0.3">
      <c r="A284" s="169"/>
      <c r="B284" s="273"/>
      <c r="C284" s="378"/>
      <c r="D284" s="470" t="s">
        <v>335</v>
      </c>
      <c r="E284" s="472"/>
      <c r="F284" s="478"/>
      <c r="J284" s="381" t="s">
        <v>285</v>
      </c>
      <c r="K284" s="1103">
        <f>VLOOKUP(J284,Mapping!E:F,2,FALSE)</f>
        <v>0</v>
      </c>
      <c r="L284" s="1099">
        <f>VLOOKUP($J284,Mapping!E:G,3,FALSE)</f>
        <v>0</v>
      </c>
      <c r="M284" s="1098" t="s">
        <v>1700</v>
      </c>
      <c r="O284" s="277"/>
      <c r="P284" s="278"/>
    </row>
    <row r="285" spans="1:16" ht="13.95" customHeight="1" thickBot="1" x14ac:dyDescent="0.3">
      <c r="A285" s="169"/>
      <c r="B285" s="273"/>
      <c r="C285" s="378"/>
      <c r="D285" s="470" t="s">
        <v>336</v>
      </c>
      <c r="E285" s="472"/>
      <c r="F285" s="478"/>
      <c r="J285" s="381" t="s">
        <v>286</v>
      </c>
      <c r="K285" s="1103">
        <f>VLOOKUP(J285,Mapping!E:F,2,FALSE)</f>
        <v>0</v>
      </c>
      <c r="L285" s="1099">
        <f>VLOOKUP($J285,Mapping!E:G,3,FALSE)</f>
        <v>0</v>
      </c>
      <c r="M285" s="1098" t="s">
        <v>1700</v>
      </c>
      <c r="O285" s="277"/>
      <c r="P285" s="278"/>
    </row>
    <row r="286" spans="1:16" ht="13.95" customHeight="1" thickBot="1" x14ac:dyDescent="0.3">
      <c r="A286" s="169"/>
      <c r="B286" s="273"/>
      <c r="C286" s="378"/>
      <c r="D286" s="470" t="s">
        <v>337</v>
      </c>
      <c r="E286" s="472"/>
      <c r="F286" s="478"/>
      <c r="J286" s="381" t="s">
        <v>1061</v>
      </c>
      <c r="K286" s="1103">
        <f>VLOOKUP(J286,Mapping!E:F,2,FALSE)</f>
        <v>0</v>
      </c>
      <c r="L286" s="1099">
        <f>VLOOKUP($J286,Mapping!E:G,3,FALSE)</f>
        <v>0</v>
      </c>
      <c r="M286" s="1098" t="s">
        <v>1691</v>
      </c>
      <c r="O286" s="277"/>
      <c r="P286" s="278"/>
    </row>
    <row r="287" spans="1:16" ht="13.95" customHeight="1" thickBot="1" x14ac:dyDescent="0.3">
      <c r="A287" s="169"/>
      <c r="B287" s="273"/>
      <c r="C287" s="378"/>
      <c r="D287" s="470" t="s">
        <v>338</v>
      </c>
      <c r="E287" s="472"/>
      <c r="F287" s="478"/>
      <c r="J287" s="381" t="s">
        <v>1062</v>
      </c>
      <c r="K287" s="1103">
        <f>VLOOKUP(J287,Mapping!E:F,2,FALSE)</f>
        <v>0</v>
      </c>
      <c r="L287" s="1099">
        <f>VLOOKUP($J287,Mapping!E:G,3,FALSE)</f>
        <v>0</v>
      </c>
      <c r="M287" s="1098" t="s">
        <v>1691</v>
      </c>
      <c r="O287" s="277"/>
      <c r="P287" s="278"/>
    </row>
    <row r="288" spans="1:16" ht="13.95" customHeight="1" thickBot="1" x14ac:dyDescent="0.3">
      <c r="A288" s="169"/>
      <c r="B288" s="273"/>
      <c r="C288" s="378"/>
      <c r="D288" s="470" t="s">
        <v>339</v>
      </c>
      <c r="E288" s="472"/>
      <c r="F288" s="478"/>
      <c r="J288" s="381" t="s">
        <v>1063</v>
      </c>
      <c r="K288" s="1103">
        <f>VLOOKUP(J288,Mapping!E:F,2,FALSE)</f>
        <v>0</v>
      </c>
      <c r="L288" s="1099">
        <f>VLOOKUP($J288,Mapping!E:G,3,FALSE)</f>
        <v>0</v>
      </c>
      <c r="M288" s="1098" t="s">
        <v>1691</v>
      </c>
      <c r="O288" s="277"/>
      <c r="P288" s="278"/>
    </row>
    <row r="289" spans="1:16" ht="13.95" customHeight="1" thickBot="1" x14ac:dyDescent="0.3">
      <c r="A289" s="169"/>
      <c r="B289" s="273"/>
      <c r="C289" s="378"/>
      <c r="D289" s="470" t="s">
        <v>340</v>
      </c>
      <c r="E289" s="472"/>
      <c r="F289" s="478"/>
      <c r="J289" s="381" t="s">
        <v>1064</v>
      </c>
      <c r="K289" s="1103">
        <f>VLOOKUP(J289,Mapping!E:F,2,FALSE)</f>
        <v>0</v>
      </c>
      <c r="L289" s="1099">
        <f>VLOOKUP($J289,Mapping!E:G,3,FALSE)</f>
        <v>0</v>
      </c>
      <c r="M289" s="1098" t="s">
        <v>1700</v>
      </c>
      <c r="O289" s="277"/>
      <c r="P289" s="278"/>
    </row>
    <row r="290" spans="1:16" ht="13.95" customHeight="1" thickBot="1" x14ac:dyDescent="0.3">
      <c r="A290" s="169"/>
      <c r="B290" s="273"/>
      <c r="C290" s="378"/>
      <c r="D290" s="470" t="s">
        <v>341</v>
      </c>
      <c r="E290" s="472"/>
      <c r="F290" s="478"/>
      <c r="J290" s="381" t="s">
        <v>1065</v>
      </c>
      <c r="K290" s="1103">
        <f>VLOOKUP(J290,Mapping!E:F,2,FALSE)</f>
        <v>0</v>
      </c>
      <c r="L290" s="1099">
        <f>VLOOKUP($J290,Mapping!E:G,3,FALSE)</f>
        <v>0</v>
      </c>
      <c r="M290" s="1098" t="s">
        <v>1700</v>
      </c>
      <c r="O290" s="277"/>
      <c r="P290" s="278"/>
    </row>
    <row r="291" spans="1:16" ht="13.95" customHeight="1" thickBot="1" x14ac:dyDescent="0.3">
      <c r="A291" s="169"/>
      <c r="B291" s="273"/>
      <c r="C291" s="378"/>
      <c r="D291" s="470" t="s">
        <v>342</v>
      </c>
      <c r="E291" s="472"/>
      <c r="F291" s="478"/>
      <c r="J291" s="381" t="s">
        <v>1066</v>
      </c>
      <c r="K291" s="1103">
        <f>VLOOKUP(J291,Mapping!E:F,2,FALSE)</f>
        <v>0</v>
      </c>
      <c r="L291" s="1099">
        <f>VLOOKUP($J291,Mapping!E:G,3,FALSE)</f>
        <v>0</v>
      </c>
      <c r="M291" s="1098" t="s">
        <v>1700</v>
      </c>
      <c r="O291" s="277"/>
      <c r="P291" s="278"/>
    </row>
    <row r="292" spans="1:16" ht="13.95" customHeight="1" thickBot="1" x14ac:dyDescent="0.3">
      <c r="A292" s="169"/>
      <c r="B292" s="273"/>
      <c r="C292" s="378"/>
      <c r="D292" s="470" t="s">
        <v>343</v>
      </c>
      <c r="E292" s="472"/>
      <c r="F292" s="478"/>
      <c r="J292" s="381" t="s">
        <v>1067</v>
      </c>
      <c r="K292" s="1103">
        <f>VLOOKUP(J292,Mapping!E:F,2,FALSE)</f>
        <v>0</v>
      </c>
      <c r="L292" s="1099">
        <f>VLOOKUP($J292,Mapping!E:G,3,FALSE)</f>
        <v>0</v>
      </c>
      <c r="M292" s="1098" t="s">
        <v>1691</v>
      </c>
      <c r="O292" s="277"/>
      <c r="P292" s="278"/>
    </row>
    <row r="293" spans="1:16" ht="13.95" customHeight="1" thickBot="1" x14ac:dyDescent="0.3">
      <c r="A293" s="169"/>
      <c r="B293" s="273"/>
      <c r="C293" s="378"/>
      <c r="D293" s="470" t="s">
        <v>344</v>
      </c>
      <c r="E293" s="472"/>
      <c r="F293" s="478"/>
      <c r="J293" s="381" t="s">
        <v>1068</v>
      </c>
      <c r="K293" s="1103">
        <f>VLOOKUP(J293,Mapping!E:F,2,FALSE)</f>
        <v>0</v>
      </c>
      <c r="L293" s="1099">
        <f>VLOOKUP($J293,Mapping!E:G,3,FALSE)</f>
        <v>0</v>
      </c>
      <c r="M293" s="1098" t="s">
        <v>1700</v>
      </c>
      <c r="O293" s="277"/>
      <c r="P293" s="278"/>
    </row>
    <row r="294" spans="1:16" ht="13.95" customHeight="1" thickBot="1" x14ac:dyDescent="0.3">
      <c r="A294" s="169"/>
      <c r="B294" s="273"/>
      <c r="C294" s="378"/>
      <c r="D294" s="470" t="s">
        <v>345</v>
      </c>
      <c r="E294" s="472"/>
      <c r="F294" s="478"/>
      <c r="J294" s="381" t="s">
        <v>1069</v>
      </c>
      <c r="K294" s="1103">
        <f>VLOOKUP(J294,Mapping!E:F,2,FALSE)</f>
        <v>0</v>
      </c>
      <c r="L294" s="1099">
        <f>VLOOKUP($J294,Mapping!E:G,3,FALSE)</f>
        <v>0</v>
      </c>
      <c r="M294" s="1098" t="s">
        <v>1700</v>
      </c>
      <c r="O294" s="277"/>
      <c r="P294" s="278"/>
    </row>
    <row r="295" spans="1:16" ht="13.95" customHeight="1" thickBot="1" x14ac:dyDescent="0.3">
      <c r="A295" s="169"/>
      <c r="B295" s="273"/>
      <c r="C295" s="378"/>
      <c r="D295" s="470" t="s">
        <v>346</v>
      </c>
      <c r="E295" s="472"/>
      <c r="F295" s="478"/>
      <c r="J295" s="381" t="s">
        <v>1070</v>
      </c>
      <c r="K295" s="1103">
        <f>VLOOKUP(J295,Mapping!E:F,2,FALSE)</f>
        <v>0</v>
      </c>
      <c r="L295" s="1099">
        <f>VLOOKUP($J295,Mapping!E:G,3,FALSE)</f>
        <v>0</v>
      </c>
      <c r="M295" s="1098" t="s">
        <v>1700</v>
      </c>
      <c r="O295" s="277"/>
      <c r="P295" s="278"/>
    </row>
    <row r="296" spans="1:16" ht="13.95" customHeight="1" thickBot="1" x14ac:dyDescent="0.3">
      <c r="A296" s="169"/>
      <c r="B296" s="273"/>
      <c r="C296" s="378"/>
      <c r="D296" s="470" t="s">
        <v>347</v>
      </c>
      <c r="E296" s="472"/>
      <c r="F296" s="478"/>
      <c r="J296" s="381" t="s">
        <v>1071</v>
      </c>
      <c r="K296" s="1103">
        <f>VLOOKUP(J296,Mapping!E:F,2,FALSE)</f>
        <v>0</v>
      </c>
      <c r="L296" s="1099">
        <f>VLOOKUP($J296,Mapping!E:G,3,FALSE)</f>
        <v>0</v>
      </c>
      <c r="M296" s="1098" t="s">
        <v>1700</v>
      </c>
      <c r="O296" s="277"/>
      <c r="P296" s="278"/>
    </row>
    <row r="297" spans="1:16" ht="13.95" customHeight="1" thickBot="1" x14ac:dyDescent="0.3">
      <c r="A297" s="169"/>
      <c r="B297" s="273"/>
      <c r="C297" s="378"/>
      <c r="D297" s="470" t="s">
        <v>348</v>
      </c>
      <c r="E297" s="472"/>
      <c r="F297" s="478"/>
      <c r="J297" s="381" t="s">
        <v>1072</v>
      </c>
      <c r="K297" s="1103">
        <f>VLOOKUP(J297,Mapping!E:F,2,FALSE)</f>
        <v>0</v>
      </c>
      <c r="L297" s="1099">
        <f>VLOOKUP($J297,Mapping!E:G,3,FALSE)</f>
        <v>0</v>
      </c>
      <c r="M297" s="1098" t="s">
        <v>1700</v>
      </c>
      <c r="O297" s="277"/>
      <c r="P297" s="278"/>
    </row>
    <row r="298" spans="1:16" ht="13.95" customHeight="1" thickBot="1" x14ac:dyDescent="0.3">
      <c r="A298" s="169"/>
      <c r="B298" s="273"/>
      <c r="C298" s="378"/>
      <c r="D298" s="470" t="s">
        <v>349</v>
      </c>
      <c r="E298" s="472"/>
      <c r="F298" s="478"/>
      <c r="J298" s="381" t="s">
        <v>1073</v>
      </c>
      <c r="K298" s="1103">
        <f>VLOOKUP(J298,Mapping!E:F,2,FALSE)</f>
        <v>0</v>
      </c>
      <c r="L298" s="1099">
        <f>VLOOKUP($J298,Mapping!E:G,3,FALSE)</f>
        <v>0</v>
      </c>
      <c r="M298" s="1098" t="s">
        <v>1699</v>
      </c>
      <c r="O298" s="277"/>
      <c r="P298" s="278"/>
    </row>
    <row r="299" spans="1:16" ht="13.95" customHeight="1" thickBot="1" x14ac:dyDescent="0.3">
      <c r="A299" s="169"/>
      <c r="B299" s="273"/>
      <c r="C299" s="378"/>
      <c r="D299" s="470" t="s">
        <v>350</v>
      </c>
      <c r="E299" s="472"/>
      <c r="F299" s="478"/>
      <c r="J299" s="381" t="s">
        <v>1074</v>
      </c>
      <c r="K299" s="1103">
        <f>VLOOKUP(J299,Mapping!E:F,2,FALSE)</f>
        <v>0</v>
      </c>
      <c r="L299" s="1099">
        <f>VLOOKUP($J299,Mapping!E:G,3,FALSE)</f>
        <v>0</v>
      </c>
      <c r="M299" s="1098" t="s">
        <v>1700</v>
      </c>
      <c r="O299" s="277"/>
      <c r="P299" s="278"/>
    </row>
    <row r="300" spans="1:16" ht="13.95" customHeight="1" thickBot="1" x14ac:dyDescent="0.3">
      <c r="A300" s="169"/>
      <c r="B300" s="273"/>
      <c r="C300" s="378"/>
      <c r="D300" s="470" t="s">
        <v>351</v>
      </c>
      <c r="E300" s="472"/>
      <c r="F300" s="478"/>
      <c r="J300" s="381" t="s">
        <v>1075</v>
      </c>
      <c r="K300" s="1103">
        <f>VLOOKUP(J300,Mapping!E:F,2,FALSE)</f>
        <v>0</v>
      </c>
      <c r="L300" s="1099">
        <f>VLOOKUP($J300,Mapping!E:G,3,FALSE)</f>
        <v>0</v>
      </c>
      <c r="M300" s="1098" t="s">
        <v>1700</v>
      </c>
      <c r="O300" s="277"/>
      <c r="P300" s="278"/>
    </row>
    <row r="301" spans="1:16" ht="13.95" customHeight="1" thickBot="1" x14ac:dyDescent="0.3">
      <c r="A301" s="169"/>
      <c r="B301" s="273"/>
      <c r="C301" s="378"/>
      <c r="D301" s="470" t="s">
        <v>352</v>
      </c>
      <c r="E301" s="472"/>
      <c r="F301" s="478"/>
      <c r="J301" s="381" t="s">
        <v>1076</v>
      </c>
      <c r="K301" s="1103">
        <f>VLOOKUP(J301,Mapping!E:F,2,FALSE)</f>
        <v>0</v>
      </c>
      <c r="L301" s="1099">
        <f>VLOOKUP($J301,Mapping!E:G,3,FALSE)</f>
        <v>0</v>
      </c>
      <c r="M301" s="1098" t="s">
        <v>1699</v>
      </c>
      <c r="O301" s="277"/>
      <c r="P301" s="278"/>
    </row>
    <row r="302" spans="1:16" ht="13.95" customHeight="1" thickBot="1" x14ac:dyDescent="0.3">
      <c r="A302" s="169"/>
      <c r="B302" s="273"/>
      <c r="C302" s="378"/>
      <c r="D302" s="470" t="s">
        <v>353</v>
      </c>
      <c r="E302" s="472"/>
      <c r="F302" s="478"/>
      <c r="J302" s="381" t="s">
        <v>41</v>
      </c>
      <c r="K302" s="1103">
        <f>VLOOKUP(J302,Mapping!E:F,2,FALSE)</f>
        <v>0</v>
      </c>
      <c r="L302" s="1099">
        <f>VLOOKUP($J302,Mapping!E:G,3,FALSE)</f>
        <v>0</v>
      </c>
      <c r="M302" s="1098" t="s">
        <v>1699</v>
      </c>
      <c r="O302" s="277"/>
      <c r="P302" s="278"/>
    </row>
    <row r="303" spans="1:16" ht="13.95" customHeight="1" thickBot="1" x14ac:dyDescent="0.3">
      <c r="A303" s="169"/>
      <c r="B303" s="273"/>
      <c r="C303" s="378"/>
      <c r="D303" s="470" t="s">
        <v>354</v>
      </c>
      <c r="E303" s="472"/>
      <c r="F303" s="478"/>
      <c r="J303" s="381" t="s">
        <v>42</v>
      </c>
      <c r="K303" s="1103">
        <f>VLOOKUP(J303,Mapping!E:F,2,FALSE)</f>
        <v>0</v>
      </c>
      <c r="L303" s="1099">
        <f>VLOOKUP($J303,Mapping!E:G,3,FALSE)</f>
        <v>0</v>
      </c>
      <c r="M303" s="1098" t="s">
        <v>1699</v>
      </c>
      <c r="O303" s="277"/>
      <c r="P303" s="278"/>
    </row>
    <row r="304" spans="1:16" ht="13.95" customHeight="1" thickBot="1" x14ac:dyDescent="0.3">
      <c r="A304" s="169"/>
      <c r="B304" s="273"/>
      <c r="C304" s="378"/>
      <c r="D304" s="470" t="s">
        <v>355</v>
      </c>
      <c r="E304" s="472"/>
      <c r="F304" s="478"/>
      <c r="J304" s="381" t="s">
        <v>43</v>
      </c>
      <c r="K304" s="1103">
        <f>VLOOKUP(J304,Mapping!E:F,2,FALSE)</f>
        <v>0</v>
      </c>
      <c r="L304" s="1099">
        <f>VLOOKUP($J304,Mapping!E:G,3,FALSE)</f>
        <v>0</v>
      </c>
      <c r="M304" s="1098" t="s">
        <v>1691</v>
      </c>
      <c r="O304" s="277"/>
      <c r="P304" s="278"/>
    </row>
    <row r="305" spans="1:16" ht="13.95" customHeight="1" thickBot="1" x14ac:dyDescent="0.3">
      <c r="A305" s="169"/>
      <c r="B305" s="273"/>
      <c r="C305" s="378"/>
      <c r="D305" s="470" t="s">
        <v>356</v>
      </c>
      <c r="E305" s="472"/>
      <c r="F305" s="478"/>
      <c r="J305" s="381" t="s">
        <v>45</v>
      </c>
      <c r="K305" s="1103">
        <f>VLOOKUP(J305,Mapping!E:F,2,FALSE)</f>
        <v>0</v>
      </c>
      <c r="L305" s="1099">
        <f>VLOOKUP($J305,Mapping!E:G,3,FALSE)</f>
        <v>0</v>
      </c>
      <c r="M305" s="1098" t="s">
        <v>1691</v>
      </c>
      <c r="O305" s="277"/>
      <c r="P305" s="278"/>
    </row>
    <row r="306" spans="1:16" ht="13.95" customHeight="1" thickBot="1" x14ac:dyDescent="0.3">
      <c r="A306" s="169"/>
      <c r="B306" s="273"/>
      <c r="C306" s="378"/>
      <c r="D306" s="470" t="s">
        <v>357</v>
      </c>
      <c r="E306" s="472"/>
      <c r="F306" s="478"/>
      <c r="J306" s="381" t="s">
        <v>47</v>
      </c>
      <c r="K306" s="1103">
        <f>VLOOKUP(J306,Mapping!E:F,2,FALSE)</f>
        <v>0</v>
      </c>
      <c r="L306" s="1099">
        <f>VLOOKUP($J306,Mapping!E:G,3,FALSE)</f>
        <v>0</v>
      </c>
      <c r="M306" s="1098" t="s">
        <v>1699</v>
      </c>
      <c r="O306" s="277"/>
      <c r="P306" s="278"/>
    </row>
    <row r="307" spans="1:16" ht="13.95" customHeight="1" thickBot="1" x14ac:dyDescent="0.3">
      <c r="A307" s="169"/>
      <c r="B307" s="273"/>
      <c r="C307" s="378"/>
      <c r="D307" s="470" t="s">
        <v>358</v>
      </c>
      <c r="E307" s="472"/>
      <c r="F307" s="478"/>
      <c r="J307" s="381" t="s">
        <v>49</v>
      </c>
      <c r="K307" s="1103">
        <f>VLOOKUP(J307,Mapping!E:F,2,FALSE)</f>
        <v>0</v>
      </c>
      <c r="L307" s="1099">
        <f>VLOOKUP($J307,Mapping!E:G,3,FALSE)</f>
        <v>0</v>
      </c>
      <c r="M307" s="1098" t="s">
        <v>1691</v>
      </c>
      <c r="O307" s="277"/>
      <c r="P307" s="278"/>
    </row>
    <row r="308" spans="1:16" ht="13.95" customHeight="1" thickBot="1" x14ac:dyDescent="0.3">
      <c r="A308" s="169"/>
      <c r="B308" s="273"/>
      <c r="C308" s="378"/>
      <c r="D308" s="470" t="s">
        <v>359</v>
      </c>
      <c r="E308" s="472"/>
      <c r="F308" s="478"/>
      <c r="J308" s="381" t="s">
        <v>60</v>
      </c>
      <c r="K308" s="1103">
        <f>VLOOKUP(J308,Mapping!E:F,2,FALSE)</f>
        <v>0</v>
      </c>
      <c r="L308" s="1099">
        <f>VLOOKUP($J308,Mapping!E:G,3,FALSE)</f>
        <v>0</v>
      </c>
      <c r="M308" s="1098" t="s">
        <v>1700</v>
      </c>
      <c r="O308" s="277"/>
      <c r="P308" s="278"/>
    </row>
    <row r="309" spans="1:16" ht="13.95" customHeight="1" thickBot="1" x14ac:dyDescent="0.3">
      <c r="A309" s="169"/>
      <c r="B309" s="273"/>
      <c r="C309" s="378"/>
      <c r="D309" s="470" t="s">
        <v>360</v>
      </c>
      <c r="E309" s="472"/>
      <c r="F309" s="478"/>
      <c r="J309" s="381" t="s">
        <v>62</v>
      </c>
      <c r="K309" s="1103">
        <f>VLOOKUP(J309,Mapping!E:F,2,FALSE)</f>
        <v>0</v>
      </c>
      <c r="L309" s="1099">
        <f>VLOOKUP($J309,Mapping!E:G,3,FALSE)</f>
        <v>0</v>
      </c>
      <c r="M309" s="1098" t="s">
        <v>1691</v>
      </c>
      <c r="O309" s="277"/>
      <c r="P309" s="278"/>
    </row>
    <row r="310" spans="1:16" ht="13.95" customHeight="1" thickBot="1" x14ac:dyDescent="0.3">
      <c r="A310" s="169"/>
      <c r="B310" s="273"/>
      <c r="C310" s="378"/>
      <c r="D310" s="470" t="s">
        <v>361</v>
      </c>
      <c r="E310" s="472"/>
      <c r="F310" s="478"/>
      <c r="J310" s="381" t="s">
        <v>64</v>
      </c>
      <c r="K310" s="1103">
        <f>VLOOKUP(J310,Mapping!E:F,2,FALSE)</f>
        <v>0</v>
      </c>
      <c r="L310" s="1099">
        <f>VLOOKUP($J310,Mapping!E:G,3,FALSE)</f>
        <v>0</v>
      </c>
      <c r="M310" s="1098" t="s">
        <v>1691</v>
      </c>
      <c r="O310" s="277"/>
      <c r="P310" s="278"/>
    </row>
    <row r="311" spans="1:16" ht="13.95" customHeight="1" thickBot="1" x14ac:dyDescent="0.3">
      <c r="A311" s="169"/>
      <c r="B311" s="273"/>
      <c r="C311" s="378"/>
      <c r="D311" s="470" t="s">
        <v>362</v>
      </c>
      <c r="E311" s="472"/>
      <c r="F311" s="478"/>
      <c r="J311" s="381" t="s">
        <v>67</v>
      </c>
      <c r="K311" s="1103">
        <f>VLOOKUP(J311,Mapping!E:F,2,FALSE)</f>
        <v>0</v>
      </c>
      <c r="L311" s="1099">
        <f>VLOOKUP($J311,Mapping!E:G,3,FALSE)</f>
        <v>0</v>
      </c>
      <c r="M311" s="1098" t="s">
        <v>1691</v>
      </c>
      <c r="O311" s="277"/>
      <c r="P311" s="278"/>
    </row>
    <row r="312" spans="1:16" ht="13.95" customHeight="1" thickBot="1" x14ac:dyDescent="0.3">
      <c r="A312" s="169"/>
      <c r="B312" s="273"/>
      <c r="C312" s="378"/>
      <c r="D312" s="470" t="s">
        <v>363</v>
      </c>
      <c r="E312" s="472"/>
      <c r="F312" s="478"/>
      <c r="J312" s="381" t="s">
        <v>70</v>
      </c>
      <c r="K312" s="1103">
        <f>VLOOKUP(J312,Mapping!E:F,2,FALSE)</f>
        <v>0</v>
      </c>
      <c r="L312" s="1099">
        <f>VLOOKUP($J312,Mapping!E:G,3,FALSE)</f>
        <v>0</v>
      </c>
      <c r="M312" s="1098" t="s">
        <v>1699</v>
      </c>
      <c r="O312" s="277"/>
      <c r="P312" s="278"/>
    </row>
    <row r="313" spans="1:16" ht="13.95" customHeight="1" thickBot="1" x14ac:dyDescent="0.3">
      <c r="A313" s="169"/>
      <c r="B313" s="273"/>
      <c r="C313" s="378"/>
      <c r="D313" s="470" t="s">
        <v>364</v>
      </c>
      <c r="E313" s="472"/>
      <c r="F313" s="478"/>
      <c r="J313" s="381" t="s">
        <v>1031</v>
      </c>
      <c r="K313" s="1103">
        <f>VLOOKUP(J313,Mapping!E:F,2,FALSE)</f>
        <v>0</v>
      </c>
      <c r="L313" s="1099">
        <f>VLOOKUP($J313,Mapping!E:G,3,FALSE)</f>
        <v>0</v>
      </c>
      <c r="M313" s="1098" t="s">
        <v>1691</v>
      </c>
      <c r="O313" s="277"/>
      <c r="P313" s="278"/>
    </row>
    <row r="314" spans="1:16" ht="13.95" customHeight="1" thickBot="1" x14ac:dyDescent="0.3">
      <c r="A314" s="169"/>
      <c r="B314" s="273"/>
      <c r="C314" s="378"/>
      <c r="D314" s="470" t="s">
        <v>365</v>
      </c>
      <c r="E314" s="472"/>
      <c r="F314" s="478"/>
      <c r="J314" s="381" t="s">
        <v>1032</v>
      </c>
      <c r="K314" s="1103">
        <f>VLOOKUP(J314,Mapping!E:F,2,FALSE)</f>
        <v>0</v>
      </c>
      <c r="L314" s="1099">
        <f>VLOOKUP($J314,Mapping!E:G,3,FALSE)</f>
        <v>0</v>
      </c>
      <c r="M314" s="1098" t="s">
        <v>1699</v>
      </c>
      <c r="O314" s="277"/>
      <c r="P314" s="278"/>
    </row>
    <row r="315" spans="1:16" ht="13.95" customHeight="1" thickBot="1" x14ac:dyDescent="0.3">
      <c r="A315" s="169"/>
      <c r="B315" s="273"/>
      <c r="C315" s="378"/>
      <c r="D315" s="470" t="s">
        <v>366</v>
      </c>
      <c r="E315" s="472"/>
      <c r="F315" s="478"/>
      <c r="J315" s="381" t="s">
        <v>1033</v>
      </c>
      <c r="K315" s="1103">
        <f>VLOOKUP(J315,Mapping!E:F,2,FALSE)</f>
        <v>0</v>
      </c>
      <c r="L315" s="1099">
        <f>VLOOKUP($J315,Mapping!E:G,3,FALSE)</f>
        <v>0</v>
      </c>
      <c r="M315" s="1098" t="s">
        <v>1699</v>
      </c>
      <c r="O315" s="277"/>
      <c r="P315" s="278"/>
    </row>
    <row r="316" spans="1:16" ht="13.95" customHeight="1" thickBot="1" x14ac:dyDescent="0.3">
      <c r="A316" s="169"/>
      <c r="B316" s="273"/>
      <c r="C316" s="378"/>
      <c r="D316" s="470" t="s">
        <v>367</v>
      </c>
      <c r="E316" s="472"/>
      <c r="F316" s="478"/>
      <c r="J316" s="381" t="s">
        <v>1034</v>
      </c>
      <c r="K316" s="1103">
        <f>VLOOKUP(J316,Mapping!E:F,2,FALSE)</f>
        <v>0</v>
      </c>
      <c r="L316" s="1099">
        <f>VLOOKUP($J316,Mapping!E:G,3,FALSE)</f>
        <v>0</v>
      </c>
      <c r="M316" s="1098" t="s">
        <v>1691</v>
      </c>
      <c r="O316" s="277"/>
      <c r="P316" s="278"/>
    </row>
    <row r="317" spans="1:16" ht="13.95" customHeight="1" thickBot="1" x14ac:dyDescent="0.3">
      <c r="A317" s="169"/>
      <c r="B317" s="273"/>
      <c r="C317" s="378"/>
      <c r="D317" s="470" t="s">
        <v>368</v>
      </c>
      <c r="E317" s="472"/>
      <c r="F317" s="478"/>
      <c r="J317" s="381" t="s">
        <v>1035</v>
      </c>
      <c r="K317" s="1103">
        <f>VLOOKUP(J317,Mapping!E:F,2,FALSE)</f>
        <v>0</v>
      </c>
      <c r="L317" s="1099">
        <f>VLOOKUP($J317,Mapping!E:G,3,FALSE)</f>
        <v>0</v>
      </c>
      <c r="M317" s="1098" t="s">
        <v>1691</v>
      </c>
      <c r="O317" s="277"/>
      <c r="P317" s="278"/>
    </row>
    <row r="318" spans="1:16" ht="13.95" customHeight="1" thickBot="1" x14ac:dyDescent="0.3">
      <c r="A318" s="169"/>
      <c r="B318" s="273"/>
      <c r="C318" s="378"/>
      <c r="D318" s="470" t="s">
        <v>370</v>
      </c>
      <c r="E318" s="472"/>
      <c r="F318" s="478"/>
      <c r="J318" s="381" t="s">
        <v>1036</v>
      </c>
      <c r="K318" s="1103">
        <f>VLOOKUP(J318,Mapping!E:F,2,FALSE)</f>
        <v>0</v>
      </c>
      <c r="L318" s="1099">
        <f>VLOOKUP($J318,Mapping!E:G,3,FALSE)</f>
        <v>0</v>
      </c>
      <c r="M318" s="1098" t="s">
        <v>1691</v>
      </c>
      <c r="O318" s="277"/>
      <c r="P318" s="278"/>
    </row>
    <row r="319" spans="1:16" ht="13.95" customHeight="1" thickBot="1" x14ac:dyDescent="0.3">
      <c r="A319" s="169"/>
      <c r="B319" s="273"/>
      <c r="C319" s="378"/>
      <c r="D319" s="470" t="s">
        <v>372</v>
      </c>
      <c r="E319" s="472"/>
      <c r="F319" s="478"/>
      <c r="J319" s="381" t="s">
        <v>1037</v>
      </c>
      <c r="K319" s="1103">
        <f>VLOOKUP(J319,Mapping!E:F,2,FALSE)</f>
        <v>0</v>
      </c>
      <c r="L319" s="1099">
        <f>VLOOKUP($J319,Mapping!E:G,3,FALSE)</f>
        <v>0</v>
      </c>
      <c r="M319" s="1098" t="s">
        <v>1699</v>
      </c>
      <c r="O319" s="277"/>
      <c r="P319" s="278"/>
    </row>
    <row r="320" spans="1:16" ht="13.95" customHeight="1" thickBot="1" x14ac:dyDescent="0.3">
      <c r="A320" s="169"/>
      <c r="B320" s="273"/>
      <c r="C320" s="378"/>
      <c r="D320" s="470" t="s">
        <v>373</v>
      </c>
      <c r="E320" s="472"/>
      <c r="F320" s="478"/>
      <c r="J320" s="381" t="s">
        <v>1038</v>
      </c>
      <c r="K320" s="1103">
        <f>VLOOKUP(J320,Mapping!E:F,2,FALSE)</f>
        <v>0</v>
      </c>
      <c r="L320" s="1099">
        <f>VLOOKUP($J320,Mapping!E:G,3,FALSE)</f>
        <v>0</v>
      </c>
      <c r="M320" s="1098" t="s">
        <v>1691</v>
      </c>
      <c r="O320" s="277"/>
      <c r="P320" s="278"/>
    </row>
    <row r="321" spans="1:16" ht="13.95" customHeight="1" thickBot="1" x14ac:dyDescent="0.3">
      <c r="A321" s="169"/>
      <c r="B321" s="273"/>
      <c r="C321" s="378"/>
      <c r="D321" s="470" t="s">
        <v>374</v>
      </c>
      <c r="E321" s="472"/>
      <c r="F321" s="478"/>
      <c r="J321" s="381" t="s">
        <v>72</v>
      </c>
      <c r="K321" s="1103">
        <f>VLOOKUP(J321,Mapping!E:F,2,FALSE)</f>
        <v>0</v>
      </c>
      <c r="L321" s="1099">
        <f>VLOOKUP($J321,Mapping!E:G,3,FALSE)</f>
        <v>0</v>
      </c>
      <c r="M321" s="1098" t="s">
        <v>1699</v>
      </c>
      <c r="O321" s="277"/>
      <c r="P321" s="278"/>
    </row>
    <row r="322" spans="1:16" ht="13.95" customHeight="1" thickBot="1" x14ac:dyDescent="0.3">
      <c r="A322" s="169"/>
      <c r="B322" s="273"/>
      <c r="C322" s="378"/>
      <c r="D322" s="470" t="s">
        <v>375</v>
      </c>
      <c r="E322" s="472"/>
      <c r="F322" s="478"/>
      <c r="J322" s="381" t="s">
        <v>75</v>
      </c>
      <c r="K322" s="1103">
        <f>VLOOKUP(J322,Mapping!E:F,2,FALSE)</f>
        <v>0</v>
      </c>
      <c r="L322" s="1099">
        <f>VLOOKUP($J322,Mapping!E:G,3,FALSE)</f>
        <v>0</v>
      </c>
      <c r="M322" s="1098" t="s">
        <v>1699</v>
      </c>
      <c r="O322" s="277"/>
      <c r="P322" s="278"/>
    </row>
    <row r="323" spans="1:16" ht="13.95" customHeight="1" thickBot="1" x14ac:dyDescent="0.3">
      <c r="A323" s="169"/>
      <c r="B323" s="273"/>
      <c r="C323" s="378"/>
      <c r="D323" s="470" t="s">
        <v>376</v>
      </c>
      <c r="E323" s="472"/>
      <c r="F323" s="478"/>
      <c r="J323" s="381" t="s">
        <v>78</v>
      </c>
      <c r="K323" s="1103">
        <f>VLOOKUP(J323,Mapping!E:F,2,FALSE)</f>
        <v>0</v>
      </c>
      <c r="L323" s="1099">
        <f>VLOOKUP($J323,Mapping!E:G,3,FALSE)</f>
        <v>0</v>
      </c>
      <c r="M323" s="1098" t="s">
        <v>1691</v>
      </c>
      <c r="O323" s="277"/>
      <c r="P323" s="278"/>
    </row>
    <row r="324" spans="1:16" ht="13.95" customHeight="1" thickBot="1" x14ac:dyDescent="0.3">
      <c r="A324" s="169"/>
      <c r="B324" s="273"/>
      <c r="C324" s="378"/>
      <c r="D324" s="470" t="s">
        <v>377</v>
      </c>
      <c r="E324" s="472"/>
      <c r="F324" s="478"/>
      <c r="J324" s="381" t="s">
        <v>81</v>
      </c>
      <c r="K324" s="1103">
        <f>VLOOKUP(J324,Mapping!E:F,2,FALSE)</f>
        <v>0</v>
      </c>
      <c r="L324" s="1099">
        <f>VLOOKUP($J324,Mapping!E:G,3,FALSE)</f>
        <v>0</v>
      </c>
      <c r="M324" s="1098" t="s">
        <v>1691</v>
      </c>
      <c r="O324" s="277"/>
      <c r="P324" s="278"/>
    </row>
    <row r="325" spans="1:16" ht="13.95" customHeight="1" thickBot="1" x14ac:dyDescent="0.3">
      <c r="A325" s="169"/>
      <c r="B325" s="273"/>
      <c r="C325" s="378"/>
      <c r="D325" s="470" t="s">
        <v>378</v>
      </c>
      <c r="E325" s="472"/>
      <c r="F325" s="478"/>
      <c r="J325" s="381" t="s">
        <v>83</v>
      </c>
      <c r="K325" s="1103">
        <f>VLOOKUP(J325,Mapping!E:F,2,FALSE)</f>
        <v>0</v>
      </c>
      <c r="L325" s="1099">
        <f>VLOOKUP($J325,Mapping!E:G,3,FALSE)</f>
        <v>0</v>
      </c>
      <c r="M325" s="1098" t="s">
        <v>1691</v>
      </c>
      <c r="O325" s="277"/>
      <c r="P325" s="278"/>
    </row>
    <row r="326" spans="1:16" ht="13.95" customHeight="1" thickBot="1" x14ac:dyDescent="0.3">
      <c r="A326" s="169"/>
      <c r="B326" s="273"/>
      <c r="C326" s="378"/>
      <c r="D326" s="470" t="s">
        <v>379</v>
      </c>
      <c r="E326" s="472"/>
      <c r="F326" s="478"/>
      <c r="J326" s="381" t="s">
        <v>85</v>
      </c>
      <c r="K326" s="1103">
        <f>VLOOKUP(J326,Mapping!E:F,2,FALSE)</f>
        <v>0</v>
      </c>
      <c r="L326" s="1099">
        <f>VLOOKUP($J326,Mapping!E:G,3,FALSE)</f>
        <v>0</v>
      </c>
      <c r="M326" s="1098" t="s">
        <v>1699</v>
      </c>
      <c r="O326" s="277"/>
      <c r="P326" s="278"/>
    </row>
    <row r="327" spans="1:16" ht="13.95" customHeight="1" thickBot="1" x14ac:dyDescent="0.3">
      <c r="A327" s="169"/>
      <c r="B327" s="273"/>
      <c r="C327" s="378"/>
      <c r="D327" s="470" t="s">
        <v>380</v>
      </c>
      <c r="E327" s="472"/>
      <c r="F327" s="478"/>
      <c r="J327" s="381" t="s">
        <v>87</v>
      </c>
      <c r="K327" s="1103">
        <f>VLOOKUP(J327,Mapping!E:F,2,FALSE)</f>
        <v>0</v>
      </c>
      <c r="L327" s="1099">
        <f>VLOOKUP($J327,Mapping!E:G,3,FALSE)</f>
        <v>0</v>
      </c>
      <c r="M327" s="1098" t="s">
        <v>1691</v>
      </c>
      <c r="O327" s="277"/>
      <c r="P327" s="278"/>
    </row>
    <row r="328" spans="1:16" ht="13.95" customHeight="1" thickBot="1" x14ac:dyDescent="0.3">
      <c r="A328" s="169"/>
      <c r="B328" s="273"/>
      <c r="C328" s="378"/>
      <c r="D328" s="470" t="s">
        <v>381</v>
      </c>
      <c r="E328" s="472"/>
      <c r="F328" s="478"/>
      <c r="J328" s="381" t="s">
        <v>1039</v>
      </c>
      <c r="K328" s="1103">
        <f>VLOOKUP(J328,Mapping!E:F,2,FALSE)</f>
        <v>0</v>
      </c>
      <c r="L328" s="1099">
        <f>VLOOKUP($J328,Mapping!E:G,3,FALSE)</f>
        <v>0</v>
      </c>
      <c r="M328" s="1098" t="s">
        <v>1699</v>
      </c>
      <c r="O328" s="277"/>
      <c r="P328" s="278"/>
    </row>
    <row r="329" spans="1:16" ht="13.95" customHeight="1" thickBot="1" x14ac:dyDescent="0.3">
      <c r="A329" s="169"/>
      <c r="B329" s="273"/>
      <c r="C329" s="378"/>
      <c r="D329" s="470" t="s">
        <v>382</v>
      </c>
      <c r="E329" s="472"/>
      <c r="F329" s="478"/>
      <c r="J329" s="381" t="s">
        <v>1040</v>
      </c>
      <c r="K329" s="1103">
        <f>VLOOKUP(J329,Mapping!E:F,2,FALSE)</f>
        <v>0</v>
      </c>
      <c r="L329" s="1099">
        <f>VLOOKUP($J329,Mapping!E:G,3,FALSE)</f>
        <v>0</v>
      </c>
      <c r="M329" s="1098" t="s">
        <v>1699</v>
      </c>
      <c r="O329" s="277"/>
      <c r="P329" s="278"/>
    </row>
    <row r="330" spans="1:16" ht="13.95" customHeight="1" thickBot="1" x14ac:dyDescent="0.3">
      <c r="A330" s="169"/>
      <c r="B330" s="273"/>
      <c r="C330" s="378"/>
      <c r="D330" s="470" t="s">
        <v>383</v>
      </c>
      <c r="E330" s="472"/>
      <c r="F330" s="478"/>
      <c r="J330" s="381" t="s">
        <v>1041</v>
      </c>
      <c r="K330" s="1103">
        <f>VLOOKUP(J330,Mapping!E:F,2,FALSE)</f>
        <v>0</v>
      </c>
      <c r="L330" s="1099">
        <f>VLOOKUP($J330,Mapping!E:G,3,FALSE)</f>
        <v>0</v>
      </c>
      <c r="M330" s="1098" t="s">
        <v>1691</v>
      </c>
      <c r="O330" s="277"/>
      <c r="P330" s="278"/>
    </row>
    <row r="331" spans="1:16" ht="13.95" customHeight="1" thickBot="1" x14ac:dyDescent="0.3">
      <c r="A331" s="169"/>
      <c r="B331" s="273"/>
      <c r="C331" s="378"/>
      <c r="D331" s="470" t="s">
        <v>384</v>
      </c>
      <c r="E331" s="472"/>
      <c r="F331" s="478"/>
      <c r="J331" s="381" t="s">
        <v>1042</v>
      </c>
      <c r="K331" s="1103">
        <f>VLOOKUP(J331,Mapping!E:F,2,FALSE)</f>
        <v>0</v>
      </c>
      <c r="L331" s="1099">
        <f>VLOOKUP($J331,Mapping!E:G,3,FALSE)</f>
        <v>0</v>
      </c>
      <c r="M331" s="1098" t="s">
        <v>1691</v>
      </c>
      <c r="O331" s="277"/>
      <c r="P331" s="278"/>
    </row>
    <row r="332" spans="1:16" ht="13.95" customHeight="1" thickBot="1" x14ac:dyDescent="0.3">
      <c r="A332" s="169"/>
      <c r="B332" s="273"/>
      <c r="C332" s="378"/>
      <c r="D332" s="470" t="s">
        <v>385</v>
      </c>
      <c r="E332" s="472"/>
      <c r="F332" s="478"/>
      <c r="J332" s="381" t="s">
        <v>1043</v>
      </c>
      <c r="K332" s="1103">
        <f>VLOOKUP(J332,Mapping!E:F,2,FALSE)</f>
        <v>0</v>
      </c>
      <c r="L332" s="1099">
        <f>VLOOKUP($J332,Mapping!E:G,3,FALSE)</f>
        <v>0</v>
      </c>
      <c r="M332" s="1098" t="s">
        <v>1691</v>
      </c>
      <c r="O332" s="277"/>
      <c r="P332" s="278"/>
    </row>
    <row r="333" spans="1:16" ht="13.95" customHeight="1" thickBot="1" x14ac:dyDescent="0.3">
      <c r="A333" s="169"/>
      <c r="B333" s="273"/>
      <c r="C333" s="378"/>
      <c r="D333" s="470" t="s">
        <v>386</v>
      </c>
      <c r="E333" s="472"/>
      <c r="F333" s="478"/>
      <c r="J333" s="381" t="s">
        <v>1044</v>
      </c>
      <c r="K333" s="1103">
        <f>VLOOKUP(J333,Mapping!E:F,2,FALSE)</f>
        <v>0</v>
      </c>
      <c r="L333" s="1099">
        <f>VLOOKUP($J333,Mapping!E:G,3,FALSE)</f>
        <v>0</v>
      </c>
      <c r="M333" s="1098" t="s">
        <v>1700</v>
      </c>
      <c r="O333" s="277"/>
      <c r="P333" s="278"/>
    </row>
    <row r="334" spans="1:16" ht="13.95" customHeight="1" thickBot="1" x14ac:dyDescent="0.3">
      <c r="A334" s="169"/>
      <c r="B334" s="273"/>
      <c r="C334" s="378"/>
      <c r="D334" s="470" t="s">
        <v>387</v>
      </c>
      <c r="E334" s="472"/>
      <c r="F334" s="478"/>
      <c r="J334" s="381" t="s">
        <v>1045</v>
      </c>
      <c r="K334" s="1103">
        <f>VLOOKUP(J334,Mapping!E:F,2,FALSE)</f>
        <v>0</v>
      </c>
      <c r="L334" s="1099">
        <f>VLOOKUP($J334,Mapping!E:G,3,FALSE)</f>
        <v>0</v>
      </c>
      <c r="M334" s="1098" t="s">
        <v>1700</v>
      </c>
      <c r="O334" s="277"/>
      <c r="P334" s="278"/>
    </row>
    <row r="335" spans="1:16" ht="13.95" customHeight="1" thickBot="1" x14ac:dyDescent="0.3">
      <c r="A335" s="169"/>
      <c r="B335" s="273"/>
      <c r="C335" s="378"/>
      <c r="D335" s="470" t="s">
        <v>388</v>
      </c>
      <c r="E335" s="472"/>
      <c r="F335" s="478"/>
      <c r="J335" s="381" t="s">
        <v>1046</v>
      </c>
      <c r="K335" s="1103">
        <f>VLOOKUP(J335,Mapping!E:F,2,FALSE)</f>
        <v>0</v>
      </c>
      <c r="L335" s="1099">
        <f>VLOOKUP($J335,Mapping!E:G,3,FALSE)</f>
        <v>0</v>
      </c>
      <c r="M335" s="1098" t="s">
        <v>1699</v>
      </c>
      <c r="O335" s="277"/>
      <c r="P335" s="278"/>
    </row>
    <row r="336" spans="1:16" ht="13.95" customHeight="1" thickBot="1" x14ac:dyDescent="0.3">
      <c r="A336" s="169"/>
      <c r="B336" s="273"/>
      <c r="C336" s="378"/>
      <c r="D336" s="470" t="s">
        <v>389</v>
      </c>
      <c r="E336" s="472"/>
      <c r="F336" s="478"/>
      <c r="J336" s="381" t="s">
        <v>1047</v>
      </c>
      <c r="K336" s="1103">
        <f>VLOOKUP(J336,Mapping!E:F,2,FALSE)</f>
        <v>0</v>
      </c>
      <c r="L336" s="1099">
        <f>VLOOKUP($J336,Mapping!E:G,3,FALSE)</f>
        <v>0</v>
      </c>
      <c r="M336" s="1098" t="s">
        <v>1700</v>
      </c>
      <c r="O336" s="277"/>
      <c r="P336" s="278"/>
    </row>
    <row r="337" spans="1:16" ht="13.95" customHeight="1" thickBot="1" x14ac:dyDescent="0.3">
      <c r="A337" s="169"/>
      <c r="B337" s="273"/>
      <c r="C337" s="378"/>
      <c r="D337" s="470" t="s">
        <v>390</v>
      </c>
      <c r="E337" s="472"/>
      <c r="F337" s="478"/>
      <c r="J337" s="381" t="s">
        <v>1048</v>
      </c>
      <c r="K337" s="1103">
        <f>VLOOKUP(J337,Mapping!E:F,2,FALSE)</f>
        <v>0</v>
      </c>
      <c r="L337" s="1099">
        <f>VLOOKUP($J337,Mapping!E:G,3,FALSE)</f>
        <v>0</v>
      </c>
      <c r="M337" s="1098" t="s">
        <v>1700</v>
      </c>
      <c r="O337" s="277"/>
      <c r="P337" s="278"/>
    </row>
    <row r="338" spans="1:16" ht="13.95" customHeight="1" thickBot="1" x14ac:dyDescent="0.3">
      <c r="A338" s="169"/>
      <c r="B338" s="273"/>
      <c r="C338" s="378"/>
      <c r="D338" s="470" t="s">
        <v>391</v>
      </c>
      <c r="E338" s="472"/>
      <c r="F338" s="478"/>
      <c r="J338" s="381" t="s">
        <v>1049</v>
      </c>
      <c r="K338" s="1103">
        <f>VLOOKUP(J338,Mapping!E:F,2,FALSE)</f>
        <v>0</v>
      </c>
      <c r="L338" s="1099">
        <f>VLOOKUP($J338,Mapping!E:G,3,FALSE)</f>
        <v>0</v>
      </c>
      <c r="M338" s="1098" t="s">
        <v>1699</v>
      </c>
      <c r="O338" s="277"/>
      <c r="P338" s="278"/>
    </row>
    <row r="339" spans="1:16" ht="13.95" customHeight="1" thickBot="1" x14ac:dyDescent="0.3">
      <c r="A339" s="169"/>
      <c r="B339" s="273"/>
      <c r="C339" s="378"/>
      <c r="D339" s="470" t="s">
        <v>392</v>
      </c>
      <c r="E339" s="472"/>
      <c r="F339" s="478"/>
      <c r="J339" s="381" t="s">
        <v>222</v>
      </c>
      <c r="K339" s="1103">
        <f>VLOOKUP(J339,Mapping!E:F,2,FALSE)</f>
        <v>0</v>
      </c>
      <c r="L339" s="1099">
        <f>VLOOKUP($J339,Mapping!E:G,3,FALSE)</f>
        <v>0</v>
      </c>
      <c r="M339" s="1098" t="s">
        <v>1700</v>
      </c>
      <c r="O339" s="277"/>
      <c r="P339" s="278"/>
    </row>
    <row r="340" spans="1:16" ht="13.95" customHeight="1" thickBot="1" x14ac:dyDescent="0.3">
      <c r="A340" s="169"/>
      <c r="B340" s="273"/>
      <c r="C340" s="378"/>
      <c r="D340" s="470" t="s">
        <v>393</v>
      </c>
      <c r="E340" s="472"/>
      <c r="F340" s="478"/>
      <c r="J340" s="381" t="s">
        <v>223</v>
      </c>
      <c r="K340" s="1103">
        <f>VLOOKUP(J340,Mapping!E:F,2,FALSE)</f>
        <v>0</v>
      </c>
      <c r="L340" s="1099">
        <f>VLOOKUP($J340,Mapping!E:G,3,FALSE)</f>
        <v>0</v>
      </c>
      <c r="M340" s="1098" t="s">
        <v>1691</v>
      </c>
      <c r="O340" s="277"/>
      <c r="P340" s="278"/>
    </row>
    <row r="341" spans="1:16" ht="13.95" customHeight="1" thickBot="1" x14ac:dyDescent="0.3">
      <c r="A341" s="169"/>
      <c r="B341" s="273"/>
      <c r="C341" s="378"/>
      <c r="D341" s="470" t="s">
        <v>394</v>
      </c>
      <c r="E341" s="472"/>
      <c r="F341" s="478"/>
      <c r="J341" s="381" t="s">
        <v>224</v>
      </c>
      <c r="K341" s="1103">
        <f>VLOOKUP(J341,Mapping!E:F,2,FALSE)</f>
        <v>0</v>
      </c>
      <c r="L341" s="1099">
        <f>VLOOKUP($J341,Mapping!E:G,3,FALSE)</f>
        <v>0</v>
      </c>
      <c r="M341" s="1098" t="s">
        <v>1699</v>
      </c>
      <c r="O341" s="277"/>
      <c r="P341" s="278"/>
    </row>
    <row r="342" spans="1:16" ht="13.95" customHeight="1" thickBot="1" x14ac:dyDescent="0.3">
      <c r="A342" s="169"/>
      <c r="B342" s="273"/>
      <c r="C342" s="378"/>
      <c r="D342" s="470" t="s">
        <v>395</v>
      </c>
      <c r="E342" s="472"/>
      <c r="F342" s="478"/>
      <c r="J342" s="381" t="s">
        <v>225</v>
      </c>
      <c r="K342" s="1103">
        <f>VLOOKUP(J342,Mapping!E:F,2,FALSE)</f>
        <v>0</v>
      </c>
      <c r="L342" s="1099">
        <f>VLOOKUP($J342,Mapping!E:G,3,FALSE)</f>
        <v>0</v>
      </c>
      <c r="M342" s="1098" t="s">
        <v>1700</v>
      </c>
      <c r="O342" s="277"/>
      <c r="P342" s="278"/>
    </row>
    <row r="343" spans="1:16" ht="13.95" customHeight="1" thickBot="1" x14ac:dyDescent="0.3">
      <c r="A343" s="169"/>
      <c r="B343" s="273"/>
      <c r="C343" s="378"/>
      <c r="D343" s="470" t="s">
        <v>396</v>
      </c>
      <c r="E343" s="472"/>
      <c r="F343" s="478"/>
      <c r="J343" s="381" t="s">
        <v>1059</v>
      </c>
      <c r="K343" s="1103">
        <f>VLOOKUP(J343,Mapping!E:F,2,FALSE)</f>
        <v>0</v>
      </c>
      <c r="L343" s="1099">
        <f>VLOOKUP($J343,Mapping!E:G,3,FALSE)</f>
        <v>0</v>
      </c>
      <c r="M343" s="1098" t="s">
        <v>1700</v>
      </c>
      <c r="O343" s="277"/>
      <c r="P343" s="278"/>
    </row>
    <row r="344" spans="1:16" ht="13.95" customHeight="1" thickBot="1" x14ac:dyDescent="0.3">
      <c r="A344" s="169"/>
      <c r="B344" s="273"/>
      <c r="C344" s="378"/>
      <c r="D344" s="470" t="s">
        <v>397</v>
      </c>
      <c r="E344" s="472"/>
      <c r="F344" s="478"/>
      <c r="J344" s="381" t="s">
        <v>226</v>
      </c>
      <c r="K344" s="1103">
        <f>VLOOKUP(J344,Mapping!E:F,2,FALSE)</f>
        <v>0</v>
      </c>
      <c r="L344" s="1099">
        <f>VLOOKUP($J344,Mapping!E:G,3,FALSE)</f>
        <v>0</v>
      </c>
      <c r="M344" s="1098" t="s">
        <v>1700</v>
      </c>
      <c r="O344" s="277"/>
      <c r="P344" s="278"/>
    </row>
    <row r="345" spans="1:16" ht="13.95" customHeight="1" thickBot="1" x14ac:dyDescent="0.3">
      <c r="A345" s="169"/>
      <c r="B345" s="273"/>
      <c r="C345" s="378"/>
      <c r="D345" s="470" t="s">
        <v>398</v>
      </c>
      <c r="E345" s="472"/>
      <c r="F345" s="478"/>
      <c r="J345" s="381" t="s">
        <v>227</v>
      </c>
      <c r="K345" s="1103">
        <f>VLOOKUP(J345,Mapping!E:F,2,FALSE)</f>
        <v>0</v>
      </c>
      <c r="L345" s="1099">
        <f>VLOOKUP($J345,Mapping!E:G,3,FALSE)</f>
        <v>0</v>
      </c>
      <c r="M345" s="1098" t="s">
        <v>1700</v>
      </c>
      <c r="O345" s="277"/>
      <c r="P345" s="278"/>
    </row>
    <row r="346" spans="1:16" ht="13.95" customHeight="1" thickBot="1" x14ac:dyDescent="0.3">
      <c r="A346" s="169"/>
      <c r="B346" s="273"/>
      <c r="C346" s="378"/>
      <c r="D346" s="470" t="s">
        <v>399</v>
      </c>
      <c r="E346" s="472"/>
      <c r="F346" s="478"/>
      <c r="J346" s="381" t="s">
        <v>228</v>
      </c>
      <c r="K346" s="1103">
        <f>VLOOKUP(J346,Mapping!E:F,2,FALSE)</f>
        <v>0</v>
      </c>
      <c r="L346" s="1099">
        <f>VLOOKUP($J346,Mapping!E:G,3,FALSE)</f>
        <v>0</v>
      </c>
      <c r="M346" s="1098" t="s">
        <v>1700</v>
      </c>
      <c r="O346" s="277"/>
      <c r="P346" s="278"/>
    </row>
    <row r="347" spans="1:16" ht="13.95" customHeight="1" thickBot="1" x14ac:dyDescent="0.3">
      <c r="A347" s="169"/>
      <c r="B347" s="273"/>
      <c r="C347" s="378"/>
      <c r="D347" s="470" t="s">
        <v>400</v>
      </c>
      <c r="E347" s="472"/>
      <c r="F347" s="478"/>
      <c r="J347" s="381" t="s">
        <v>229</v>
      </c>
      <c r="K347" s="1103">
        <f>VLOOKUP(J347,Mapping!E:F,2,FALSE)</f>
        <v>0</v>
      </c>
      <c r="L347" s="1099">
        <f>VLOOKUP($J347,Mapping!E:G,3,FALSE)</f>
        <v>0</v>
      </c>
      <c r="M347" s="1098" t="s">
        <v>1700</v>
      </c>
      <c r="O347" s="277"/>
      <c r="P347" s="278"/>
    </row>
    <row r="348" spans="1:16" ht="13.95" customHeight="1" thickBot="1" x14ac:dyDescent="0.3">
      <c r="A348" s="169"/>
      <c r="B348" s="273"/>
      <c r="C348" s="378"/>
      <c r="D348" s="470" t="s">
        <v>401</v>
      </c>
      <c r="E348" s="472"/>
      <c r="F348" s="478"/>
      <c r="J348" s="381" t="s">
        <v>230</v>
      </c>
      <c r="K348" s="1103">
        <f>VLOOKUP(J348,Mapping!E:F,2,FALSE)</f>
        <v>0</v>
      </c>
      <c r="L348" s="1099">
        <f>VLOOKUP($J348,Mapping!E:G,3,FALSE)</f>
        <v>0</v>
      </c>
      <c r="M348" s="1098" t="s">
        <v>1700</v>
      </c>
      <c r="O348" s="277"/>
      <c r="P348" s="278"/>
    </row>
    <row r="349" spans="1:16" ht="13.95" customHeight="1" thickBot="1" x14ac:dyDescent="0.3">
      <c r="A349" s="169"/>
      <c r="B349" s="273"/>
      <c r="C349" s="378"/>
      <c r="D349" s="470" t="s">
        <v>402</v>
      </c>
      <c r="E349" s="472"/>
      <c r="F349" s="478"/>
      <c r="J349" s="381" t="s">
        <v>231</v>
      </c>
      <c r="K349" s="1103">
        <f>VLOOKUP(J349,Mapping!E:F,2,FALSE)</f>
        <v>0</v>
      </c>
      <c r="L349" s="1099">
        <f>VLOOKUP($J349,Mapping!E:G,3,FALSE)</f>
        <v>0</v>
      </c>
      <c r="M349" s="1098" t="s">
        <v>1700</v>
      </c>
      <c r="O349" s="277"/>
      <c r="P349" s="278"/>
    </row>
    <row r="350" spans="1:16" ht="13.95" customHeight="1" thickBot="1" x14ac:dyDescent="0.3">
      <c r="A350" s="169"/>
      <c r="B350" s="273"/>
      <c r="C350" s="378"/>
      <c r="D350" s="470" t="s">
        <v>403</v>
      </c>
      <c r="E350" s="472"/>
      <c r="F350" s="478"/>
      <c r="J350" s="381" t="s">
        <v>232</v>
      </c>
      <c r="K350" s="1103">
        <f>VLOOKUP(J350,Mapping!E:F,2,FALSE)</f>
        <v>0</v>
      </c>
      <c r="L350" s="1099">
        <f>VLOOKUP($J350,Mapping!E:G,3,FALSE)</f>
        <v>0</v>
      </c>
      <c r="M350" s="1098" t="s">
        <v>1700</v>
      </c>
      <c r="O350" s="277"/>
      <c r="P350" s="278"/>
    </row>
    <row r="351" spans="1:16" ht="13.95" customHeight="1" thickBot="1" x14ac:dyDescent="0.3">
      <c r="A351" s="169"/>
      <c r="B351" s="273"/>
      <c r="C351" s="378"/>
      <c r="D351" s="470" t="s">
        <v>404</v>
      </c>
      <c r="E351" s="472"/>
      <c r="F351" s="478"/>
      <c r="J351" s="381" t="s">
        <v>233</v>
      </c>
      <c r="K351" s="1103">
        <f>VLOOKUP(J351,Mapping!E:F,2,FALSE)</f>
        <v>0</v>
      </c>
      <c r="L351" s="1099">
        <f>VLOOKUP($J351,Mapping!E:G,3,FALSE)</f>
        <v>0</v>
      </c>
      <c r="M351" s="1098" t="s">
        <v>1700</v>
      </c>
      <c r="O351" s="277"/>
      <c r="P351" s="278"/>
    </row>
    <row r="352" spans="1:16" ht="13.95" customHeight="1" thickBot="1" x14ac:dyDescent="0.3">
      <c r="A352" s="169"/>
      <c r="B352" s="273"/>
      <c r="C352" s="378"/>
      <c r="D352" s="470" t="s">
        <v>405</v>
      </c>
      <c r="E352" s="472"/>
      <c r="F352" s="478"/>
      <c r="J352" s="381" t="s">
        <v>234</v>
      </c>
      <c r="K352" s="1103">
        <f>VLOOKUP(J352,Mapping!E:F,2,FALSE)</f>
        <v>0</v>
      </c>
      <c r="L352" s="1099">
        <f>VLOOKUP($J352,Mapping!E:G,3,FALSE)</f>
        <v>0</v>
      </c>
      <c r="M352" s="1098" t="s">
        <v>1700</v>
      </c>
      <c r="O352" s="277"/>
      <c r="P352" s="278"/>
    </row>
    <row r="353" spans="1:16" ht="13.95" customHeight="1" thickBot="1" x14ac:dyDescent="0.3">
      <c r="A353" s="169"/>
      <c r="B353" s="273"/>
      <c r="C353" s="378"/>
      <c r="D353" s="470" t="s">
        <v>406</v>
      </c>
      <c r="E353" s="472"/>
      <c r="F353" s="478"/>
      <c r="J353" s="381" t="s">
        <v>235</v>
      </c>
      <c r="K353" s="1103">
        <f>VLOOKUP(J353,Mapping!E:F,2,FALSE)</f>
        <v>0</v>
      </c>
      <c r="L353" s="1099">
        <f>VLOOKUP($J353,Mapping!E:G,3,FALSE)</f>
        <v>0</v>
      </c>
      <c r="M353" s="1098" t="s">
        <v>1700</v>
      </c>
      <c r="O353" s="277"/>
      <c r="P353" s="278"/>
    </row>
    <row r="354" spans="1:16" ht="13.95" customHeight="1" thickBot="1" x14ac:dyDescent="0.3">
      <c r="A354" s="169"/>
      <c r="B354" s="273"/>
      <c r="C354" s="378"/>
      <c r="D354" s="470" t="s">
        <v>407</v>
      </c>
      <c r="E354" s="472"/>
      <c r="F354" s="478"/>
      <c r="J354" s="381" t="s">
        <v>236</v>
      </c>
      <c r="K354" s="1103">
        <f>VLOOKUP(J354,Mapping!E:F,2,FALSE)</f>
        <v>0</v>
      </c>
      <c r="L354" s="1099">
        <f>VLOOKUP($J354,Mapping!E:G,3,FALSE)</f>
        <v>0</v>
      </c>
      <c r="M354" s="1098" t="s">
        <v>1700</v>
      </c>
      <c r="O354" s="277"/>
      <c r="P354" s="278"/>
    </row>
    <row r="355" spans="1:16" ht="13.95" customHeight="1" thickBot="1" x14ac:dyDescent="0.3">
      <c r="A355" s="169"/>
      <c r="B355" s="273"/>
      <c r="C355" s="378"/>
      <c r="D355" s="470" t="s">
        <v>408</v>
      </c>
      <c r="E355" s="472"/>
      <c r="F355" s="478"/>
      <c r="J355" s="381" t="s">
        <v>237</v>
      </c>
      <c r="K355" s="1103">
        <f>VLOOKUP(J355,Mapping!E:F,2,FALSE)</f>
        <v>0</v>
      </c>
      <c r="L355" s="1099">
        <f>VLOOKUP($J355,Mapping!E:G,3,FALSE)</f>
        <v>0</v>
      </c>
      <c r="M355" s="1098" t="s">
        <v>1700</v>
      </c>
      <c r="O355" s="277"/>
      <c r="P355" s="278"/>
    </row>
    <row r="356" spans="1:16" ht="13.95" customHeight="1" thickBot="1" x14ac:dyDescent="0.3">
      <c r="A356" s="169"/>
      <c r="B356" s="273"/>
      <c r="C356" s="378"/>
      <c r="D356" s="470" t="s">
        <v>409</v>
      </c>
      <c r="E356" s="472"/>
      <c r="F356" s="478"/>
      <c r="J356" s="381" t="s">
        <v>238</v>
      </c>
      <c r="K356" s="1103">
        <f>VLOOKUP(J356,Mapping!E:F,2,FALSE)</f>
        <v>0</v>
      </c>
      <c r="L356" s="1099">
        <f>VLOOKUP($J356,Mapping!E:G,3,FALSE)</f>
        <v>0</v>
      </c>
      <c r="M356" s="1098" t="s">
        <v>1700</v>
      </c>
      <c r="O356" s="277"/>
      <c r="P356" s="278"/>
    </row>
    <row r="357" spans="1:16" ht="13.95" customHeight="1" thickBot="1" x14ac:dyDescent="0.3">
      <c r="A357" s="169"/>
      <c r="B357" s="273"/>
      <c r="C357" s="378"/>
      <c r="D357" s="470" t="s">
        <v>411</v>
      </c>
      <c r="E357" s="472"/>
      <c r="F357" s="478"/>
      <c r="J357" s="381" t="s">
        <v>239</v>
      </c>
      <c r="K357" s="1103">
        <f>VLOOKUP(J357,Mapping!E:F,2,FALSE)</f>
        <v>0</v>
      </c>
      <c r="L357" s="1099">
        <f>VLOOKUP($J357,Mapping!E:G,3,FALSE)</f>
        <v>0</v>
      </c>
      <c r="M357" s="1098" t="s">
        <v>1700</v>
      </c>
      <c r="O357" s="277"/>
      <c r="P357" s="278"/>
    </row>
    <row r="358" spans="1:16" ht="13.95" customHeight="1" thickBot="1" x14ac:dyDescent="0.3">
      <c r="A358" s="169"/>
      <c r="B358" s="273"/>
      <c r="C358" s="378"/>
      <c r="D358" s="470" t="s">
        <v>412</v>
      </c>
      <c r="E358" s="472"/>
      <c r="F358" s="478"/>
      <c r="J358" s="381" t="s">
        <v>240</v>
      </c>
      <c r="K358" s="1103">
        <f>VLOOKUP(J358,Mapping!E:F,2,FALSE)</f>
        <v>0</v>
      </c>
      <c r="L358" s="1099">
        <f>VLOOKUP($J358,Mapping!E:G,3,FALSE)</f>
        <v>0</v>
      </c>
      <c r="M358" s="1098" t="s">
        <v>1700</v>
      </c>
      <c r="O358" s="277"/>
      <c r="P358" s="278"/>
    </row>
    <row r="359" spans="1:16" ht="13.95" customHeight="1" thickBot="1" x14ac:dyDescent="0.3">
      <c r="A359" s="169"/>
      <c r="B359" s="273"/>
      <c r="C359" s="378"/>
      <c r="D359" s="470" t="s">
        <v>413</v>
      </c>
      <c r="E359" s="472"/>
      <c r="F359" s="478"/>
      <c r="J359" s="381" t="s">
        <v>241</v>
      </c>
      <c r="K359" s="1103">
        <f>VLOOKUP(J359,Mapping!E:F,2,FALSE)</f>
        <v>0</v>
      </c>
      <c r="L359" s="1099">
        <f>VLOOKUP($J359,Mapping!E:G,3,FALSE)</f>
        <v>0</v>
      </c>
      <c r="M359" s="1098" t="s">
        <v>1700</v>
      </c>
      <c r="O359" s="277"/>
      <c r="P359" s="278"/>
    </row>
    <row r="360" spans="1:16" ht="13.95" customHeight="1" thickBot="1" x14ac:dyDescent="0.3">
      <c r="A360" s="169"/>
      <c r="B360" s="273"/>
      <c r="C360" s="378"/>
      <c r="D360" s="470" t="s">
        <v>414</v>
      </c>
      <c r="E360" s="472"/>
      <c r="F360" s="478"/>
      <c r="J360" s="381" t="s">
        <v>242</v>
      </c>
      <c r="K360" s="1103">
        <f>VLOOKUP(J360,Mapping!E:F,2,FALSE)</f>
        <v>0</v>
      </c>
      <c r="L360" s="1099">
        <f>VLOOKUP($J360,Mapping!E:G,3,FALSE)</f>
        <v>0</v>
      </c>
      <c r="M360" s="1098" t="s">
        <v>1700</v>
      </c>
      <c r="O360" s="277"/>
      <c r="P360" s="278"/>
    </row>
    <row r="361" spans="1:16" ht="13.95" customHeight="1" thickBot="1" x14ac:dyDescent="0.3">
      <c r="A361" s="169"/>
      <c r="B361" s="273"/>
      <c r="C361" s="378"/>
      <c r="D361" s="470" t="s">
        <v>415</v>
      </c>
      <c r="E361" s="472"/>
      <c r="F361" s="478"/>
      <c r="J361" s="381" t="s">
        <v>243</v>
      </c>
      <c r="K361" s="1103">
        <f>VLOOKUP(J361,Mapping!E:F,2,FALSE)</f>
        <v>0</v>
      </c>
      <c r="L361" s="1099">
        <f>VLOOKUP($J361,Mapping!E:G,3,FALSE)</f>
        <v>0</v>
      </c>
      <c r="M361" s="1098" t="s">
        <v>1700</v>
      </c>
      <c r="O361" s="277"/>
      <c r="P361" s="278"/>
    </row>
    <row r="362" spans="1:16" ht="13.95" customHeight="1" thickBot="1" x14ac:dyDescent="0.3">
      <c r="A362" s="169"/>
      <c r="B362" s="273"/>
      <c r="C362" s="378"/>
      <c r="D362" s="470" t="s">
        <v>416</v>
      </c>
      <c r="E362" s="472"/>
      <c r="F362" s="478"/>
      <c r="J362" s="381" t="s">
        <v>245</v>
      </c>
      <c r="K362" s="1103">
        <f>VLOOKUP(J362,Mapping!E:F,2,FALSE)</f>
        <v>0</v>
      </c>
      <c r="L362" s="1099">
        <f>VLOOKUP($J362,Mapping!E:G,3,FALSE)</f>
        <v>0</v>
      </c>
      <c r="M362" s="1098" t="s">
        <v>1700</v>
      </c>
      <c r="O362" s="277"/>
      <c r="P362" s="278"/>
    </row>
    <row r="363" spans="1:16" ht="13.95" customHeight="1" thickBot="1" x14ac:dyDescent="0.3">
      <c r="A363" s="169"/>
      <c r="B363" s="273"/>
      <c r="C363" s="378"/>
      <c r="D363" s="470" t="s">
        <v>417</v>
      </c>
      <c r="E363" s="472"/>
      <c r="F363" s="478"/>
      <c r="J363" s="381" t="s">
        <v>246</v>
      </c>
      <c r="K363" s="1103">
        <f>VLOOKUP(J363,Mapping!E:F,2,FALSE)</f>
        <v>0</v>
      </c>
      <c r="L363" s="1099">
        <f>VLOOKUP($J363,Mapping!E:G,3,FALSE)</f>
        <v>0</v>
      </c>
      <c r="M363" s="1098" t="s">
        <v>1700</v>
      </c>
      <c r="O363" s="277"/>
      <c r="P363" s="278"/>
    </row>
    <row r="364" spans="1:16" ht="13.95" customHeight="1" thickBot="1" x14ac:dyDescent="0.3">
      <c r="A364" s="169"/>
      <c r="B364" s="273"/>
      <c r="C364" s="378"/>
      <c r="D364" s="470" t="s">
        <v>418</v>
      </c>
      <c r="E364" s="472"/>
      <c r="F364" s="478"/>
      <c r="J364" s="381" t="s">
        <v>247</v>
      </c>
      <c r="K364" s="1103">
        <f>VLOOKUP(J364,Mapping!E:F,2,FALSE)</f>
        <v>0</v>
      </c>
      <c r="L364" s="1099">
        <f>VLOOKUP($J364,Mapping!E:G,3,FALSE)</f>
        <v>0</v>
      </c>
      <c r="M364" s="1098" t="s">
        <v>1699</v>
      </c>
      <c r="O364" s="277"/>
      <c r="P364" s="278"/>
    </row>
    <row r="365" spans="1:16" ht="13.95" customHeight="1" thickBot="1" x14ac:dyDescent="0.3">
      <c r="A365" s="169"/>
      <c r="B365" s="273"/>
      <c r="C365" s="378"/>
      <c r="D365" s="470" t="s">
        <v>792</v>
      </c>
      <c r="E365" s="472"/>
      <c r="F365" s="478"/>
      <c r="J365" s="381" t="s">
        <v>248</v>
      </c>
      <c r="K365" s="1103">
        <f>VLOOKUP(J365,Mapping!E:F,2,FALSE)</f>
        <v>0</v>
      </c>
      <c r="L365" s="1099">
        <f>VLOOKUP($J365,Mapping!E:G,3,FALSE)</f>
        <v>0</v>
      </c>
      <c r="M365" s="1098" t="s">
        <v>1700</v>
      </c>
      <c r="O365" s="277"/>
      <c r="P365" s="278"/>
    </row>
    <row r="366" spans="1:16" ht="13.95" customHeight="1" thickBot="1" x14ac:dyDescent="0.3">
      <c r="A366" s="169"/>
      <c r="B366" s="273"/>
      <c r="C366" s="378"/>
      <c r="D366" s="470" t="s">
        <v>419</v>
      </c>
      <c r="E366" s="472"/>
      <c r="F366" s="478"/>
      <c r="J366" s="381" t="s">
        <v>249</v>
      </c>
      <c r="K366" s="1103">
        <f>VLOOKUP(J366,Mapping!E:F,2,FALSE)</f>
        <v>0</v>
      </c>
      <c r="L366" s="1099">
        <f>VLOOKUP($J366,Mapping!E:G,3,FALSE)</f>
        <v>0</v>
      </c>
      <c r="M366" s="1098" t="s">
        <v>1700</v>
      </c>
      <c r="O366" s="277"/>
      <c r="P366" s="278"/>
    </row>
    <row r="367" spans="1:16" ht="13.95" customHeight="1" thickBot="1" x14ac:dyDescent="0.3">
      <c r="A367" s="169"/>
      <c r="B367" s="273"/>
      <c r="C367" s="378"/>
      <c r="D367" s="470" t="s">
        <v>420</v>
      </c>
      <c r="E367" s="472"/>
      <c r="F367" s="478"/>
      <c r="J367" s="381" t="s">
        <v>250</v>
      </c>
      <c r="K367" s="1103">
        <f>VLOOKUP(J367,Mapping!E:F,2,FALSE)</f>
        <v>0</v>
      </c>
      <c r="L367" s="1099">
        <f>VLOOKUP($J367,Mapping!E:G,3,FALSE)</f>
        <v>0</v>
      </c>
      <c r="M367" s="1098" t="s">
        <v>1699</v>
      </c>
      <c r="O367" s="277"/>
      <c r="P367" s="278"/>
    </row>
    <row r="368" spans="1:16" ht="13.95" customHeight="1" thickBot="1" x14ac:dyDescent="0.3">
      <c r="A368" s="169"/>
      <c r="B368" s="273"/>
      <c r="C368" s="378"/>
      <c r="D368" s="470" t="s">
        <v>421</v>
      </c>
      <c r="E368" s="472"/>
      <c r="F368" s="478"/>
      <c r="J368" s="381" t="s">
        <v>1122</v>
      </c>
      <c r="K368" s="1103">
        <f>VLOOKUP(J368,Mapping!E:F,2,FALSE)</f>
        <v>0</v>
      </c>
      <c r="L368" s="1099">
        <f>VLOOKUP($J368,Mapping!E:G,3,FALSE)</f>
        <v>0</v>
      </c>
      <c r="M368" s="1098" t="s">
        <v>1700</v>
      </c>
      <c r="O368" s="277"/>
      <c r="P368" s="278"/>
    </row>
    <row r="369" spans="1:16" ht="13.95" customHeight="1" thickBot="1" x14ac:dyDescent="0.3">
      <c r="A369" s="169"/>
      <c r="B369" s="273"/>
      <c r="C369" s="378"/>
      <c r="D369" s="470" t="s">
        <v>422</v>
      </c>
      <c r="E369" s="472"/>
      <c r="F369" s="478"/>
      <c r="J369" s="381" t="s">
        <v>1123</v>
      </c>
      <c r="K369" s="1103">
        <f>VLOOKUP(J369,Mapping!E:F,2,FALSE)</f>
        <v>0</v>
      </c>
      <c r="L369" s="1099">
        <f>VLOOKUP($J369,Mapping!E:G,3,FALSE)</f>
        <v>0</v>
      </c>
      <c r="M369" s="1098" t="s">
        <v>1691</v>
      </c>
      <c r="O369" s="277"/>
      <c r="P369" s="278"/>
    </row>
    <row r="370" spans="1:16" ht="13.95" customHeight="1" thickBot="1" x14ac:dyDescent="0.3">
      <c r="A370" s="169"/>
      <c r="B370" s="273"/>
      <c r="C370" s="378"/>
      <c r="D370" s="470" t="s">
        <v>423</v>
      </c>
      <c r="E370" s="472"/>
      <c r="F370" s="478"/>
      <c r="J370" s="381" t="s">
        <v>1124</v>
      </c>
      <c r="K370" s="1103">
        <f>VLOOKUP(J370,Mapping!E:F,2,FALSE)</f>
        <v>0</v>
      </c>
      <c r="L370" s="1099">
        <f>VLOOKUP($J370,Mapping!E:G,3,FALSE)</f>
        <v>0</v>
      </c>
      <c r="M370" s="1098" t="s">
        <v>1699</v>
      </c>
      <c r="O370" s="277"/>
      <c r="P370" s="278"/>
    </row>
    <row r="371" spans="1:16" ht="13.95" customHeight="1" thickBot="1" x14ac:dyDescent="0.3">
      <c r="A371" s="169"/>
      <c r="B371" s="273"/>
      <c r="C371" s="378"/>
      <c r="D371" s="470" t="s">
        <v>424</v>
      </c>
      <c r="E371" s="472"/>
      <c r="F371" s="478"/>
      <c r="J371" s="381" t="s">
        <v>1125</v>
      </c>
      <c r="K371" s="1103">
        <f>VLOOKUP(J371,Mapping!E:F,2,FALSE)</f>
        <v>0</v>
      </c>
      <c r="L371" s="1099">
        <f>VLOOKUP($J371,Mapping!E:G,3,FALSE)</f>
        <v>0</v>
      </c>
      <c r="M371" s="1098" t="s">
        <v>1699</v>
      </c>
      <c r="O371" s="277"/>
      <c r="P371" s="278"/>
    </row>
    <row r="372" spans="1:16" ht="13.95" customHeight="1" thickBot="1" x14ac:dyDescent="0.3">
      <c r="A372" s="169"/>
      <c r="B372" s="273"/>
      <c r="C372" s="378"/>
      <c r="D372" s="470" t="s">
        <v>425</v>
      </c>
      <c r="E372" s="472"/>
      <c r="F372" s="478"/>
      <c r="J372" s="381" t="s">
        <v>1126</v>
      </c>
      <c r="K372" s="1103">
        <f>VLOOKUP(J372,Mapping!E:F,2,FALSE)</f>
        <v>0</v>
      </c>
      <c r="L372" s="1099">
        <f>VLOOKUP($J372,Mapping!E:G,3,FALSE)</f>
        <v>0</v>
      </c>
      <c r="M372" s="1098" t="s">
        <v>1691</v>
      </c>
      <c r="O372" s="277"/>
      <c r="P372" s="278"/>
    </row>
    <row r="373" spans="1:16" ht="13.95" customHeight="1" thickBot="1" x14ac:dyDescent="0.3">
      <c r="A373" s="169"/>
      <c r="B373" s="273"/>
      <c r="C373" s="378"/>
      <c r="D373" s="470" t="s">
        <v>426</v>
      </c>
      <c r="E373" s="472"/>
      <c r="F373" s="478"/>
      <c r="J373" s="381" t="s">
        <v>1128</v>
      </c>
      <c r="K373" s="1103">
        <f>VLOOKUP(J373,Mapping!E:F,2,FALSE)</f>
        <v>0</v>
      </c>
      <c r="L373" s="1099">
        <f>VLOOKUP($J373,Mapping!E:G,3,FALSE)</f>
        <v>0</v>
      </c>
      <c r="M373" s="1098" t="s">
        <v>1700</v>
      </c>
      <c r="O373" s="277"/>
      <c r="P373" s="278"/>
    </row>
    <row r="374" spans="1:16" ht="13.95" customHeight="1" thickBot="1" x14ac:dyDescent="0.3">
      <c r="A374" s="169"/>
      <c r="B374" s="273"/>
      <c r="C374" s="378"/>
      <c r="D374" s="470" t="s">
        <v>427</v>
      </c>
      <c r="E374" s="472"/>
      <c r="F374" s="478"/>
      <c r="J374" s="381" t="s">
        <v>1129</v>
      </c>
      <c r="K374" s="1103">
        <f>VLOOKUP(J374,Mapping!E:F,2,FALSE)</f>
        <v>0</v>
      </c>
      <c r="L374" s="1099">
        <f>VLOOKUP($J374,Mapping!E:G,3,FALSE)</f>
        <v>0</v>
      </c>
      <c r="M374" s="1098" t="s">
        <v>1691</v>
      </c>
      <c r="O374" s="277"/>
      <c r="P374" s="278"/>
    </row>
    <row r="375" spans="1:16" ht="13.95" customHeight="1" thickBot="1" x14ac:dyDescent="0.3">
      <c r="A375" s="169"/>
      <c r="B375" s="273"/>
      <c r="C375" s="378"/>
      <c r="D375" s="470" t="s">
        <v>428</v>
      </c>
      <c r="E375" s="472"/>
      <c r="F375" s="478"/>
      <c r="J375" s="381" t="s">
        <v>1130</v>
      </c>
      <c r="K375" s="1103">
        <f>VLOOKUP(J375,Mapping!E:F,2,FALSE)</f>
        <v>0</v>
      </c>
      <c r="L375" s="1099">
        <f>VLOOKUP($J375,Mapping!E:G,3,FALSE)</f>
        <v>0</v>
      </c>
      <c r="M375" s="1098" t="s">
        <v>1691</v>
      </c>
      <c r="O375" s="277"/>
      <c r="P375" s="278"/>
    </row>
    <row r="376" spans="1:16" ht="13.95" customHeight="1" thickBot="1" x14ac:dyDescent="0.3">
      <c r="A376" s="169"/>
      <c r="B376" s="273"/>
      <c r="C376" s="378"/>
      <c r="D376" s="470" t="s">
        <v>429</v>
      </c>
      <c r="E376" s="472"/>
      <c r="F376" s="478"/>
      <c r="J376" s="381" t="s">
        <v>1131</v>
      </c>
      <c r="K376" s="1103">
        <f>VLOOKUP(J376,Mapping!E:F,2,FALSE)</f>
        <v>0</v>
      </c>
      <c r="L376" s="1099">
        <f>VLOOKUP($J376,Mapping!E:G,3,FALSE)</f>
        <v>0</v>
      </c>
      <c r="M376" s="1098" t="s">
        <v>1699</v>
      </c>
      <c r="O376" s="277"/>
      <c r="P376" s="278"/>
    </row>
    <row r="377" spans="1:16" ht="13.95" customHeight="1" thickBot="1" x14ac:dyDescent="0.3">
      <c r="A377" s="169"/>
      <c r="B377" s="273"/>
      <c r="C377" s="378"/>
      <c r="D377" s="470" t="s">
        <v>430</v>
      </c>
      <c r="E377" s="472"/>
      <c r="F377" s="478"/>
      <c r="J377" s="381" t="s">
        <v>1132</v>
      </c>
      <c r="K377" s="1103">
        <f>VLOOKUP(J377,Mapping!E:F,2,FALSE)</f>
        <v>0</v>
      </c>
      <c r="L377" s="1099">
        <f>VLOOKUP($J377,Mapping!E:G,3,FALSE)</f>
        <v>0</v>
      </c>
      <c r="M377" s="1098" t="s">
        <v>1700</v>
      </c>
      <c r="O377" s="277"/>
      <c r="P377" s="278"/>
    </row>
    <row r="378" spans="1:16" ht="13.95" customHeight="1" thickBot="1" x14ac:dyDescent="0.3">
      <c r="A378" s="169"/>
      <c r="B378" s="273"/>
      <c r="C378" s="378"/>
      <c r="D378" s="470" t="s">
        <v>431</v>
      </c>
      <c r="E378" s="472"/>
      <c r="F378" s="478"/>
      <c r="J378" s="381" t="s">
        <v>1133</v>
      </c>
      <c r="K378" s="1103">
        <f>VLOOKUP(J378,Mapping!E:F,2,FALSE)</f>
        <v>0</v>
      </c>
      <c r="L378" s="1099">
        <f>VLOOKUP($J378,Mapping!E:G,3,FALSE)</f>
        <v>0</v>
      </c>
      <c r="M378" s="1098" t="s">
        <v>1700</v>
      </c>
      <c r="O378" s="277"/>
      <c r="P378" s="278"/>
    </row>
    <row r="379" spans="1:16" ht="13.95" customHeight="1" thickBot="1" x14ac:dyDescent="0.3">
      <c r="A379" s="169"/>
      <c r="B379" s="273"/>
      <c r="C379" s="378"/>
      <c r="D379" s="470" t="s">
        <v>432</v>
      </c>
      <c r="E379" s="472"/>
      <c r="F379" s="478"/>
      <c r="J379" s="381" t="s">
        <v>1134</v>
      </c>
      <c r="K379" s="1103">
        <f>VLOOKUP(J379,Mapping!E:F,2,FALSE)</f>
        <v>0</v>
      </c>
      <c r="L379" s="1099">
        <f>VLOOKUP($J379,Mapping!E:G,3,FALSE)</f>
        <v>0</v>
      </c>
      <c r="M379" s="1098" t="s">
        <v>1700</v>
      </c>
      <c r="O379" s="277"/>
      <c r="P379" s="278"/>
    </row>
    <row r="380" spans="1:16" ht="13.95" customHeight="1" thickBot="1" x14ac:dyDescent="0.3">
      <c r="A380" s="169"/>
      <c r="B380" s="273"/>
      <c r="C380" s="378"/>
      <c r="D380" s="470" t="s">
        <v>433</v>
      </c>
      <c r="E380" s="472"/>
      <c r="F380" s="478"/>
      <c r="J380" s="381" t="s">
        <v>1135</v>
      </c>
      <c r="K380" s="1103">
        <f>VLOOKUP(J380,Mapping!E:F,2,FALSE)</f>
        <v>0</v>
      </c>
      <c r="L380" s="1099">
        <f>VLOOKUP($J380,Mapping!E:G,3,FALSE)</f>
        <v>0</v>
      </c>
      <c r="M380" s="1098" t="s">
        <v>1699</v>
      </c>
      <c r="O380" s="277"/>
      <c r="P380" s="278"/>
    </row>
    <row r="381" spans="1:16" ht="13.95" customHeight="1" thickBot="1" x14ac:dyDescent="0.3">
      <c r="A381" s="169"/>
      <c r="B381" s="273"/>
      <c r="C381" s="378"/>
      <c r="D381" s="470" t="s">
        <v>434</v>
      </c>
      <c r="E381" s="472"/>
      <c r="F381" s="478"/>
      <c r="J381" s="381" t="s">
        <v>1136</v>
      </c>
      <c r="K381" s="1103">
        <f>VLOOKUP(J381,Mapping!E:F,2,FALSE)</f>
        <v>0</v>
      </c>
      <c r="L381" s="1099">
        <f>VLOOKUP($J381,Mapping!E:G,3,FALSE)</f>
        <v>0</v>
      </c>
      <c r="M381" s="1098" t="s">
        <v>1700</v>
      </c>
      <c r="O381" s="277"/>
      <c r="P381" s="278"/>
    </row>
    <row r="382" spans="1:16" ht="13.95" customHeight="1" thickBot="1" x14ac:dyDescent="0.3">
      <c r="A382" s="169"/>
      <c r="B382" s="273"/>
      <c r="C382" s="378"/>
      <c r="D382" s="470" t="s">
        <v>435</v>
      </c>
      <c r="E382" s="472"/>
      <c r="F382" s="478"/>
      <c r="J382" s="381" t="s">
        <v>1137</v>
      </c>
      <c r="K382" s="1103">
        <f>VLOOKUP(J382,Mapping!E:F,2,FALSE)</f>
        <v>0</v>
      </c>
      <c r="L382" s="1099">
        <f>VLOOKUP($J382,Mapping!E:G,3,FALSE)</f>
        <v>0</v>
      </c>
      <c r="M382" s="1098" t="s">
        <v>1700</v>
      </c>
      <c r="O382" s="277"/>
      <c r="P382" s="278"/>
    </row>
    <row r="383" spans="1:16" ht="13.95" customHeight="1" thickBot="1" x14ac:dyDescent="0.3">
      <c r="A383" s="169"/>
      <c r="B383" s="273"/>
      <c r="C383" s="378"/>
      <c r="D383" s="470" t="s">
        <v>436</v>
      </c>
      <c r="E383" s="472"/>
      <c r="F383" s="478"/>
      <c r="J383" s="381" t="s">
        <v>1138</v>
      </c>
      <c r="K383" s="1103">
        <f>VLOOKUP(J383,Mapping!E:F,2,FALSE)</f>
        <v>0</v>
      </c>
      <c r="L383" s="1099">
        <f>VLOOKUP($J383,Mapping!E:G,3,FALSE)</f>
        <v>0</v>
      </c>
      <c r="M383" s="1098" t="s">
        <v>1700</v>
      </c>
      <c r="O383" s="277"/>
      <c r="P383" s="278"/>
    </row>
    <row r="384" spans="1:16" ht="13.95" customHeight="1" thickBot="1" x14ac:dyDescent="0.3">
      <c r="A384" s="169"/>
      <c r="B384" s="273"/>
      <c r="C384" s="378"/>
      <c r="D384" s="470" t="s">
        <v>437</v>
      </c>
      <c r="E384" s="472"/>
      <c r="F384" s="478"/>
      <c r="J384" s="381" t="s">
        <v>1139</v>
      </c>
      <c r="K384" s="1103">
        <f>VLOOKUP(J384,Mapping!E:F,2,FALSE)</f>
        <v>0</v>
      </c>
      <c r="L384" s="1099">
        <f>VLOOKUP($J384,Mapping!E:G,3,FALSE)</f>
        <v>0</v>
      </c>
      <c r="M384" s="1098" t="s">
        <v>1700</v>
      </c>
      <c r="O384" s="277"/>
      <c r="P384" s="278"/>
    </row>
    <row r="385" spans="1:16" ht="13.95" customHeight="1" thickBot="1" x14ac:dyDescent="0.3">
      <c r="A385" s="169"/>
      <c r="B385" s="273"/>
      <c r="C385" s="378"/>
      <c r="D385" s="470" t="s">
        <v>438</v>
      </c>
      <c r="E385" s="472"/>
      <c r="F385" s="478"/>
      <c r="J385" s="381" t="s">
        <v>1140</v>
      </c>
      <c r="K385" s="1103">
        <f>VLOOKUP(J385,Mapping!E:F,2,FALSE)</f>
        <v>0</v>
      </c>
      <c r="L385" s="1099">
        <f>VLOOKUP($J385,Mapping!E:G,3,FALSE)</f>
        <v>0</v>
      </c>
      <c r="M385" s="1098" t="s">
        <v>1700</v>
      </c>
      <c r="O385" s="277"/>
      <c r="P385" s="278"/>
    </row>
    <row r="386" spans="1:16" ht="13.95" customHeight="1" thickBot="1" x14ac:dyDescent="0.3">
      <c r="A386" s="169"/>
      <c r="B386" s="273"/>
      <c r="C386" s="378"/>
      <c r="D386" s="470" t="s">
        <v>439</v>
      </c>
      <c r="E386" s="472"/>
      <c r="F386" s="478"/>
      <c r="J386" s="381" t="s">
        <v>1141</v>
      </c>
      <c r="K386" s="1103">
        <f>VLOOKUP(J386,Mapping!E:F,2,FALSE)</f>
        <v>0</v>
      </c>
      <c r="L386" s="1099">
        <f>VLOOKUP($J386,Mapping!E:G,3,FALSE)</f>
        <v>0</v>
      </c>
      <c r="M386" s="1098" t="s">
        <v>1699</v>
      </c>
      <c r="O386" s="277"/>
      <c r="P386" s="278"/>
    </row>
    <row r="387" spans="1:16" ht="13.95" customHeight="1" thickBot="1" x14ac:dyDescent="0.3">
      <c r="A387" s="169"/>
      <c r="B387" s="273"/>
      <c r="C387" s="378"/>
      <c r="D387" s="470" t="s">
        <v>440</v>
      </c>
      <c r="E387" s="472"/>
      <c r="F387" s="478"/>
      <c r="J387" s="381" t="s">
        <v>1142</v>
      </c>
      <c r="K387" s="1103">
        <f>VLOOKUP(J387,Mapping!E:F,2,FALSE)</f>
        <v>0</v>
      </c>
      <c r="L387" s="1099">
        <f>VLOOKUP($J387,Mapping!E:G,3,FALSE)</f>
        <v>0</v>
      </c>
      <c r="M387" s="1098" t="s">
        <v>1700</v>
      </c>
      <c r="O387" s="277"/>
      <c r="P387" s="278"/>
    </row>
    <row r="388" spans="1:16" ht="13.95" customHeight="1" thickBot="1" x14ac:dyDescent="0.3">
      <c r="A388" s="169"/>
      <c r="B388" s="273"/>
      <c r="C388" s="378"/>
      <c r="D388" s="470" t="s">
        <v>441</v>
      </c>
      <c r="E388" s="472"/>
      <c r="F388" s="478"/>
      <c r="J388" s="381" t="s">
        <v>1143</v>
      </c>
      <c r="K388" s="1103">
        <f>VLOOKUP(J388,Mapping!E:F,2,FALSE)</f>
        <v>0</v>
      </c>
      <c r="L388" s="1099">
        <f>VLOOKUP($J388,Mapping!E:G,3,FALSE)</f>
        <v>0</v>
      </c>
      <c r="M388" s="1098" t="s">
        <v>1700</v>
      </c>
      <c r="O388" s="277"/>
      <c r="P388" s="278"/>
    </row>
    <row r="389" spans="1:16" ht="13.95" customHeight="1" thickBot="1" x14ac:dyDescent="0.3">
      <c r="A389" s="169"/>
      <c r="B389" s="273"/>
      <c r="C389" s="378"/>
      <c r="D389" s="470" t="s">
        <v>442</v>
      </c>
      <c r="E389" s="472"/>
      <c r="F389" s="478"/>
      <c r="J389" s="381" t="s">
        <v>1144</v>
      </c>
      <c r="K389" s="1103">
        <f>VLOOKUP(J389,Mapping!E:F,2,FALSE)</f>
        <v>0</v>
      </c>
      <c r="L389" s="1099">
        <f>VLOOKUP($J389,Mapping!E:G,3,FALSE)</f>
        <v>0</v>
      </c>
      <c r="M389" s="1098" t="s">
        <v>1699</v>
      </c>
      <c r="O389" s="277"/>
      <c r="P389" s="278"/>
    </row>
    <row r="390" spans="1:16" ht="13.95" customHeight="1" thickBot="1" x14ac:dyDescent="0.3">
      <c r="A390" s="169"/>
      <c r="B390" s="273"/>
      <c r="C390" s="378"/>
      <c r="D390" s="470" t="s">
        <v>443</v>
      </c>
      <c r="E390" s="472"/>
      <c r="F390" s="478"/>
      <c r="J390" s="381" t="s">
        <v>183</v>
      </c>
      <c r="K390" s="1103">
        <f>VLOOKUP(J390,Mapping!E:F,2,FALSE)</f>
        <v>0</v>
      </c>
      <c r="L390" s="1099">
        <f>VLOOKUP($J390,Mapping!E:G,3,FALSE)</f>
        <v>0</v>
      </c>
      <c r="M390" s="1098" t="s">
        <v>1700</v>
      </c>
      <c r="O390" s="277"/>
      <c r="P390" s="278"/>
    </row>
    <row r="391" spans="1:16" ht="13.95" customHeight="1" thickBot="1" x14ac:dyDescent="0.3">
      <c r="A391" s="169"/>
      <c r="B391" s="273"/>
      <c r="C391" s="378"/>
      <c r="D391" s="470" t="s">
        <v>444</v>
      </c>
      <c r="E391" s="472"/>
      <c r="F391" s="478"/>
      <c r="J391" s="381" t="s">
        <v>184</v>
      </c>
      <c r="K391" s="1103">
        <f>VLOOKUP(J391,Mapping!E:F,2,FALSE)</f>
        <v>0</v>
      </c>
      <c r="L391" s="1099">
        <f>VLOOKUP($J391,Mapping!E:G,3,FALSE)</f>
        <v>0</v>
      </c>
      <c r="M391" s="1098" t="s">
        <v>1700</v>
      </c>
      <c r="O391" s="277"/>
      <c r="P391" s="278"/>
    </row>
    <row r="392" spans="1:16" ht="13.95" customHeight="1" thickBot="1" x14ac:dyDescent="0.3">
      <c r="A392" s="169"/>
      <c r="B392" s="273"/>
      <c r="C392" s="378"/>
      <c r="D392" s="470" t="s">
        <v>445</v>
      </c>
      <c r="E392" s="472"/>
      <c r="F392" s="478"/>
      <c r="J392" s="381" t="s">
        <v>185</v>
      </c>
      <c r="K392" s="1103">
        <f>VLOOKUP(J392,Mapping!E:F,2,FALSE)</f>
        <v>0</v>
      </c>
      <c r="L392" s="1099">
        <f>VLOOKUP($J392,Mapping!E:G,3,FALSE)</f>
        <v>0</v>
      </c>
      <c r="M392" s="1098" t="s">
        <v>1700</v>
      </c>
      <c r="O392" s="277"/>
      <c r="P392" s="278"/>
    </row>
    <row r="393" spans="1:16" ht="13.95" customHeight="1" thickBot="1" x14ac:dyDescent="0.3">
      <c r="A393" s="169"/>
      <c r="B393" s="273"/>
      <c r="C393" s="378"/>
      <c r="D393" s="470" t="s">
        <v>932</v>
      </c>
      <c r="E393" s="472"/>
      <c r="F393" s="478"/>
      <c r="J393" s="381" t="s">
        <v>186</v>
      </c>
      <c r="K393" s="1103">
        <f>VLOOKUP(J393,Mapping!E:F,2,FALSE)</f>
        <v>0</v>
      </c>
      <c r="L393" s="1099">
        <f>VLOOKUP($J393,Mapping!E:G,3,FALSE)</f>
        <v>0</v>
      </c>
      <c r="M393" s="1098" t="s">
        <v>1700</v>
      </c>
      <c r="O393" s="277"/>
      <c r="P393" s="278"/>
    </row>
    <row r="394" spans="1:16" ht="13.95" customHeight="1" thickBot="1" x14ac:dyDescent="0.3">
      <c r="A394" s="169"/>
      <c r="B394" s="273"/>
      <c r="C394" s="378"/>
      <c r="D394" s="470" t="s">
        <v>933</v>
      </c>
      <c r="E394" s="472"/>
      <c r="F394" s="478"/>
      <c r="J394" s="381" t="s">
        <v>187</v>
      </c>
      <c r="K394" s="1103">
        <f>VLOOKUP(J394,Mapping!E:F,2,FALSE)</f>
        <v>0</v>
      </c>
      <c r="L394" s="1099">
        <f>VLOOKUP($J394,Mapping!E:G,3,FALSE)</f>
        <v>0</v>
      </c>
      <c r="M394" s="1098" t="s">
        <v>1700</v>
      </c>
      <c r="O394" s="277"/>
      <c r="P394" s="278"/>
    </row>
    <row r="395" spans="1:16" ht="13.95" customHeight="1" thickBot="1" x14ac:dyDescent="0.3">
      <c r="A395" s="169"/>
      <c r="B395" s="273"/>
      <c r="C395" s="378"/>
      <c r="D395" s="470" t="s">
        <v>934</v>
      </c>
      <c r="E395" s="472"/>
      <c r="F395" s="478"/>
      <c r="J395" s="381" t="s">
        <v>188</v>
      </c>
      <c r="K395" s="1103">
        <f>VLOOKUP(J395,Mapping!E:F,2,FALSE)</f>
        <v>0</v>
      </c>
      <c r="L395" s="1099">
        <f>VLOOKUP($J395,Mapping!E:G,3,FALSE)</f>
        <v>0</v>
      </c>
      <c r="M395" s="1098" t="s">
        <v>1700</v>
      </c>
      <c r="O395" s="277"/>
      <c r="P395" s="278"/>
    </row>
    <row r="396" spans="1:16" ht="13.95" customHeight="1" thickBot="1" x14ac:dyDescent="0.3">
      <c r="A396" s="169"/>
      <c r="B396" s="273"/>
      <c r="C396" s="378"/>
      <c r="D396" s="470" t="s">
        <v>935</v>
      </c>
      <c r="E396" s="472"/>
      <c r="F396" s="478"/>
      <c r="J396" s="381" t="s">
        <v>189</v>
      </c>
      <c r="K396" s="1103">
        <f>VLOOKUP(J396,Mapping!E:F,2,FALSE)</f>
        <v>0</v>
      </c>
      <c r="L396" s="1099">
        <f>VLOOKUP($J396,Mapping!E:G,3,FALSE)</f>
        <v>0</v>
      </c>
      <c r="M396" s="1098" t="s">
        <v>1700</v>
      </c>
      <c r="O396" s="277"/>
      <c r="P396" s="278"/>
    </row>
    <row r="397" spans="1:16" ht="13.95" customHeight="1" thickBot="1" x14ac:dyDescent="0.3">
      <c r="A397" s="169"/>
      <c r="B397" s="273"/>
      <c r="C397" s="378"/>
      <c r="D397" s="470" t="s">
        <v>936</v>
      </c>
      <c r="E397" s="472"/>
      <c r="F397" s="478"/>
      <c r="J397" s="381" t="s">
        <v>190</v>
      </c>
      <c r="K397" s="1103">
        <f>VLOOKUP(J397,Mapping!E:F,2,FALSE)</f>
        <v>0</v>
      </c>
      <c r="L397" s="1099">
        <f>VLOOKUP($J397,Mapping!E:G,3,FALSE)</f>
        <v>0</v>
      </c>
      <c r="M397" s="1098" t="s">
        <v>1700</v>
      </c>
      <c r="O397" s="277"/>
      <c r="P397" s="278"/>
    </row>
    <row r="398" spans="1:16" ht="13.95" customHeight="1" thickBot="1" x14ac:dyDescent="0.3">
      <c r="A398" s="169"/>
      <c r="B398" s="273"/>
      <c r="C398" s="378"/>
      <c r="D398" s="470" t="s">
        <v>937</v>
      </c>
      <c r="E398" s="472"/>
      <c r="F398" s="478"/>
      <c r="J398" s="381" t="s">
        <v>191</v>
      </c>
      <c r="K398" s="1103">
        <f>VLOOKUP(J398,Mapping!E:F,2,FALSE)</f>
        <v>0</v>
      </c>
      <c r="L398" s="1099">
        <f>VLOOKUP($J398,Mapping!E:G,3,FALSE)</f>
        <v>0</v>
      </c>
      <c r="M398" s="1098" t="s">
        <v>1700</v>
      </c>
      <c r="O398" s="277"/>
      <c r="P398" s="278"/>
    </row>
    <row r="399" spans="1:16" ht="13.95" customHeight="1" thickBot="1" x14ac:dyDescent="0.3">
      <c r="A399" s="169"/>
      <c r="B399" s="273"/>
      <c r="C399" s="378"/>
      <c r="D399" s="470" t="s">
        <v>938</v>
      </c>
      <c r="E399" s="472"/>
      <c r="F399" s="478"/>
      <c r="J399" s="381" t="s">
        <v>192</v>
      </c>
      <c r="K399" s="1103">
        <f>VLOOKUP(J399,Mapping!E:F,2,FALSE)</f>
        <v>0</v>
      </c>
      <c r="L399" s="1099">
        <f>VLOOKUP($J399,Mapping!E:G,3,FALSE)</f>
        <v>0</v>
      </c>
      <c r="M399" s="1098" t="s">
        <v>1700</v>
      </c>
      <c r="O399" s="277"/>
      <c r="P399" s="278"/>
    </row>
    <row r="400" spans="1:16" ht="13.95" customHeight="1" thickBot="1" x14ac:dyDescent="0.3">
      <c r="A400" s="169"/>
      <c r="B400" s="273"/>
      <c r="C400" s="378"/>
      <c r="D400" s="470" t="s">
        <v>939</v>
      </c>
      <c r="E400" s="472"/>
      <c r="F400" s="478"/>
      <c r="J400" s="381" t="s">
        <v>193</v>
      </c>
      <c r="K400" s="1103">
        <f>VLOOKUP(J400,Mapping!E:F,2,FALSE)</f>
        <v>0</v>
      </c>
      <c r="L400" s="1099">
        <f>VLOOKUP($J400,Mapping!E:G,3,FALSE)</f>
        <v>0</v>
      </c>
      <c r="M400" s="1098" t="s">
        <v>1700</v>
      </c>
      <c r="O400" s="277"/>
      <c r="P400" s="278"/>
    </row>
    <row r="401" spans="1:16" ht="13.95" customHeight="1" thickBot="1" x14ac:dyDescent="0.3">
      <c r="A401" s="169"/>
      <c r="B401" s="273"/>
      <c r="C401" s="378"/>
      <c r="D401" s="470" t="s">
        <v>940</v>
      </c>
      <c r="E401" s="472"/>
      <c r="F401" s="478"/>
      <c r="J401" s="381" t="s">
        <v>195</v>
      </c>
      <c r="K401" s="1103">
        <f>VLOOKUP(J401,Mapping!E:F,2,FALSE)</f>
        <v>0</v>
      </c>
      <c r="L401" s="1099">
        <f>VLOOKUP($J401,Mapping!E:G,3,FALSE)</f>
        <v>0</v>
      </c>
      <c r="M401" s="1098" t="s">
        <v>1700</v>
      </c>
      <c r="O401" s="277"/>
      <c r="P401" s="278"/>
    </row>
    <row r="402" spans="1:16" ht="13.95" customHeight="1" thickBot="1" x14ac:dyDescent="0.3">
      <c r="A402" s="169"/>
      <c r="B402" s="273"/>
      <c r="C402" s="378"/>
      <c r="D402" s="470" t="s">
        <v>941</v>
      </c>
      <c r="E402" s="472"/>
      <c r="F402" s="478"/>
      <c r="J402" s="381" t="s">
        <v>197</v>
      </c>
      <c r="K402" s="1103">
        <f>VLOOKUP(J402,Mapping!E:F,2,FALSE)</f>
        <v>0</v>
      </c>
      <c r="L402" s="1099">
        <f>VLOOKUP($J402,Mapping!E:G,3,FALSE)</f>
        <v>0</v>
      </c>
      <c r="M402" s="1098" t="s">
        <v>1700</v>
      </c>
      <c r="O402" s="277"/>
      <c r="P402" s="278"/>
    </row>
    <row r="403" spans="1:16" ht="13.95" customHeight="1" thickBot="1" x14ac:dyDescent="0.3">
      <c r="A403" s="169"/>
      <c r="B403" s="273"/>
      <c r="C403" s="378"/>
      <c r="D403" s="470" t="s">
        <v>942</v>
      </c>
      <c r="E403" s="472"/>
      <c r="F403" s="478"/>
      <c r="J403" s="381" t="s">
        <v>198</v>
      </c>
      <c r="K403" s="1103">
        <f>VLOOKUP(J403,Mapping!E:F,2,FALSE)</f>
        <v>0</v>
      </c>
      <c r="L403" s="1099">
        <f>VLOOKUP($J403,Mapping!E:G,3,FALSE)</f>
        <v>0</v>
      </c>
      <c r="M403" s="1098" t="s">
        <v>1700</v>
      </c>
      <c r="O403" s="277"/>
      <c r="P403" s="278"/>
    </row>
    <row r="404" spans="1:16" ht="13.95" customHeight="1" thickBot="1" x14ac:dyDescent="0.3">
      <c r="A404" s="169"/>
      <c r="B404" s="273"/>
      <c r="C404" s="378"/>
      <c r="D404" s="470" t="s">
        <v>943</v>
      </c>
      <c r="E404" s="472"/>
      <c r="F404" s="478"/>
      <c r="J404" s="381" t="s">
        <v>199</v>
      </c>
      <c r="K404" s="1103">
        <f>VLOOKUP(J404,Mapping!E:F,2,FALSE)</f>
        <v>0</v>
      </c>
      <c r="L404" s="1099">
        <f>VLOOKUP($J404,Mapping!E:G,3,FALSE)</f>
        <v>0</v>
      </c>
      <c r="M404" s="1098" t="s">
        <v>1700</v>
      </c>
      <c r="O404" s="277"/>
      <c r="P404" s="278"/>
    </row>
    <row r="405" spans="1:16" ht="13.95" customHeight="1" thickBot="1" x14ac:dyDescent="0.3">
      <c r="A405" s="169"/>
      <c r="B405" s="273"/>
      <c r="C405" s="378"/>
      <c r="D405" s="470" t="s">
        <v>944</v>
      </c>
      <c r="E405" s="472"/>
      <c r="F405" s="478"/>
      <c r="J405" s="381" t="s">
        <v>200</v>
      </c>
      <c r="K405" s="1103">
        <f>VLOOKUP(J405,Mapping!E:F,2,FALSE)</f>
        <v>0</v>
      </c>
      <c r="L405" s="1099">
        <f>VLOOKUP($J405,Mapping!E:G,3,FALSE)</f>
        <v>0</v>
      </c>
      <c r="M405" s="1098" t="s">
        <v>1700</v>
      </c>
      <c r="O405" s="277"/>
      <c r="P405" s="278"/>
    </row>
    <row r="406" spans="1:16" ht="13.95" customHeight="1" thickBot="1" x14ac:dyDescent="0.3">
      <c r="A406" s="169"/>
      <c r="B406" s="273"/>
      <c r="C406" s="378"/>
      <c r="D406" s="470" t="s">
        <v>945</v>
      </c>
      <c r="E406" s="472"/>
      <c r="F406" s="478"/>
      <c r="J406" s="381" t="s">
        <v>201</v>
      </c>
      <c r="K406" s="1103">
        <f>VLOOKUP(J406,Mapping!E:F,2,FALSE)</f>
        <v>0</v>
      </c>
      <c r="L406" s="1099">
        <f>VLOOKUP($J406,Mapping!E:G,3,FALSE)</f>
        <v>0</v>
      </c>
      <c r="M406" s="1098" t="s">
        <v>1700</v>
      </c>
      <c r="O406" s="277"/>
      <c r="P406" s="278"/>
    </row>
    <row r="407" spans="1:16" ht="13.95" customHeight="1" thickBot="1" x14ac:dyDescent="0.3">
      <c r="A407" s="169"/>
      <c r="B407" s="273"/>
      <c r="C407" s="378"/>
      <c r="D407" s="470" t="s">
        <v>946</v>
      </c>
      <c r="E407" s="472"/>
      <c r="F407" s="478"/>
      <c r="J407" s="381" t="s">
        <v>202</v>
      </c>
      <c r="K407" s="1103">
        <f>VLOOKUP(J407,Mapping!E:F,2,FALSE)</f>
        <v>0</v>
      </c>
      <c r="L407" s="1099">
        <f>VLOOKUP($J407,Mapping!E:G,3,FALSE)</f>
        <v>0</v>
      </c>
      <c r="M407" s="1098" t="s">
        <v>1700</v>
      </c>
      <c r="O407" s="277"/>
      <c r="P407" s="278"/>
    </row>
    <row r="408" spans="1:16" ht="13.95" customHeight="1" thickBot="1" x14ac:dyDescent="0.3">
      <c r="A408" s="169"/>
      <c r="B408" s="273"/>
      <c r="C408" s="378"/>
      <c r="D408" s="470" t="s">
        <v>947</v>
      </c>
      <c r="E408" s="472"/>
      <c r="F408" s="478"/>
      <c r="J408" s="381" t="s">
        <v>203</v>
      </c>
      <c r="K408" s="1103">
        <f>VLOOKUP(J408,Mapping!E:F,2,FALSE)</f>
        <v>0</v>
      </c>
      <c r="L408" s="1099">
        <f>VLOOKUP($J408,Mapping!E:G,3,FALSE)</f>
        <v>0</v>
      </c>
      <c r="M408" s="1098" t="s">
        <v>1699</v>
      </c>
      <c r="O408" s="277"/>
      <c r="P408" s="278"/>
    </row>
    <row r="409" spans="1:16" ht="13.95" customHeight="1" thickBot="1" x14ac:dyDescent="0.3">
      <c r="A409" s="169"/>
      <c r="B409" s="273"/>
      <c r="C409" s="378"/>
      <c r="D409" s="470" t="s">
        <v>948</v>
      </c>
      <c r="E409" s="472"/>
      <c r="F409" s="478"/>
      <c r="J409" s="381" t="s">
        <v>204</v>
      </c>
      <c r="K409" s="1103">
        <f>VLOOKUP(J409,Mapping!E:F,2,FALSE)</f>
        <v>0</v>
      </c>
      <c r="L409" s="1099">
        <f>VLOOKUP($J409,Mapping!E:G,3,FALSE)</f>
        <v>0</v>
      </c>
      <c r="M409" s="1098" t="s">
        <v>1700</v>
      </c>
      <c r="O409" s="277"/>
      <c r="P409" s="278"/>
    </row>
    <row r="410" spans="1:16" ht="13.95" customHeight="1" thickBot="1" x14ac:dyDescent="0.3">
      <c r="A410" s="169"/>
      <c r="B410" s="273"/>
      <c r="C410" s="378"/>
      <c r="D410" s="470" t="s">
        <v>949</v>
      </c>
      <c r="E410" s="472"/>
      <c r="F410" s="478"/>
      <c r="J410" s="381" t="s">
        <v>205</v>
      </c>
      <c r="K410" s="1103">
        <f>VLOOKUP(J410,Mapping!E:F,2,FALSE)</f>
        <v>0</v>
      </c>
      <c r="L410" s="1099">
        <f>VLOOKUP($J410,Mapping!E:G,3,FALSE)</f>
        <v>0</v>
      </c>
      <c r="M410" s="1098" t="s">
        <v>1700</v>
      </c>
      <c r="O410" s="277"/>
      <c r="P410" s="278"/>
    </row>
    <row r="411" spans="1:16" ht="13.95" customHeight="1" thickBot="1" x14ac:dyDescent="0.3">
      <c r="A411" s="169"/>
      <c r="B411" s="273"/>
      <c r="C411" s="378"/>
      <c r="D411" s="470" t="s">
        <v>950</v>
      </c>
      <c r="E411" s="472"/>
      <c r="F411" s="478"/>
      <c r="J411" s="381" t="s">
        <v>207</v>
      </c>
      <c r="K411" s="1103">
        <f>VLOOKUP(J411,Mapping!E:F,2,FALSE)</f>
        <v>0</v>
      </c>
      <c r="L411" s="1099">
        <f>VLOOKUP($J411,Mapping!E:G,3,FALSE)</f>
        <v>0</v>
      </c>
      <c r="M411" s="1098" t="s">
        <v>1700</v>
      </c>
      <c r="O411" s="277"/>
      <c r="P411" s="278"/>
    </row>
    <row r="412" spans="1:16" ht="13.95" customHeight="1" thickBot="1" x14ac:dyDescent="0.3">
      <c r="A412" s="169"/>
      <c r="B412" s="273"/>
      <c r="C412" s="378"/>
      <c r="D412" s="470" t="s">
        <v>951</v>
      </c>
      <c r="E412" s="472"/>
      <c r="F412" s="478"/>
      <c r="J412" s="381" t="s">
        <v>209</v>
      </c>
      <c r="K412" s="1103">
        <f>VLOOKUP(J412,Mapping!E:F,2,FALSE)</f>
        <v>0</v>
      </c>
      <c r="L412" s="1099">
        <f>VLOOKUP($J412,Mapping!E:G,3,FALSE)</f>
        <v>0</v>
      </c>
      <c r="M412" s="1098" t="s">
        <v>1700</v>
      </c>
      <c r="O412" s="277"/>
      <c r="P412" s="278"/>
    </row>
    <row r="413" spans="1:16" ht="13.95" customHeight="1" thickBot="1" x14ac:dyDescent="0.3">
      <c r="A413" s="169"/>
      <c r="B413" s="273"/>
      <c r="C413" s="378"/>
      <c r="D413" s="470" t="s">
        <v>952</v>
      </c>
      <c r="E413" s="472"/>
      <c r="F413" s="478"/>
      <c r="J413" s="381" t="s">
        <v>215</v>
      </c>
      <c r="K413" s="1103">
        <f>VLOOKUP(J413,Mapping!E:F,2,FALSE)</f>
        <v>0</v>
      </c>
      <c r="L413" s="1099">
        <f>VLOOKUP($J413,Mapping!E:G,3,FALSE)</f>
        <v>0</v>
      </c>
      <c r="M413" s="1098" t="s">
        <v>1700</v>
      </c>
      <c r="O413" s="277"/>
      <c r="P413" s="278"/>
    </row>
    <row r="414" spans="1:16" ht="13.95" customHeight="1" thickBot="1" x14ac:dyDescent="0.3">
      <c r="A414" s="169"/>
      <c r="B414" s="273"/>
      <c r="C414" s="378"/>
      <c r="D414" s="470" t="s">
        <v>953</v>
      </c>
      <c r="E414" s="472"/>
      <c r="F414" s="478"/>
      <c r="J414" s="381" t="s">
        <v>216</v>
      </c>
      <c r="K414" s="1103">
        <f>VLOOKUP(J414,Mapping!E:F,2,FALSE)</f>
        <v>0</v>
      </c>
      <c r="L414" s="1099">
        <f>VLOOKUP($J414,Mapping!E:G,3,FALSE)</f>
        <v>0</v>
      </c>
      <c r="M414" s="1098" t="s">
        <v>1700</v>
      </c>
      <c r="O414" s="277"/>
      <c r="P414" s="278"/>
    </row>
    <row r="415" spans="1:16" ht="13.95" customHeight="1" thickBot="1" x14ac:dyDescent="0.3">
      <c r="A415" s="169"/>
      <c r="B415" s="273"/>
      <c r="C415" s="378"/>
      <c r="D415" s="470"/>
      <c r="J415" s="381" t="s">
        <v>217</v>
      </c>
      <c r="K415" s="1103">
        <f>VLOOKUP(J415,Mapping!E:F,2,FALSE)</f>
        <v>0</v>
      </c>
      <c r="L415" s="1099">
        <f>VLOOKUP($J415,Mapping!E:G,3,FALSE)</f>
        <v>0</v>
      </c>
      <c r="M415" s="1098" t="s">
        <v>1699</v>
      </c>
      <c r="O415" s="277"/>
      <c r="P415" s="278"/>
    </row>
    <row r="416" spans="1:16" ht="13.95" customHeight="1" thickBot="1" x14ac:dyDescent="0.3">
      <c r="A416" s="169"/>
      <c r="B416" s="273"/>
      <c r="C416" s="378"/>
      <c r="J416" s="381" t="s">
        <v>218</v>
      </c>
      <c r="K416" s="1103">
        <f>VLOOKUP(J416,Mapping!E:F,2,FALSE)</f>
        <v>0</v>
      </c>
      <c r="L416" s="1099">
        <f>VLOOKUP($J416,Mapping!E:G,3,FALSE)</f>
        <v>0</v>
      </c>
      <c r="M416" s="1098" t="s">
        <v>1700</v>
      </c>
      <c r="O416" s="277"/>
      <c r="P416" s="278"/>
    </row>
    <row r="417" spans="1:16" ht="13.95" customHeight="1" thickBot="1" x14ac:dyDescent="0.3">
      <c r="A417" s="169"/>
      <c r="B417" s="273"/>
      <c r="C417" s="378"/>
      <c r="J417" s="381" t="s">
        <v>219</v>
      </c>
      <c r="K417" s="1103">
        <f>VLOOKUP(J417,Mapping!E:F,2,FALSE)</f>
        <v>0</v>
      </c>
      <c r="L417" s="1099">
        <f>VLOOKUP($J417,Mapping!E:G,3,FALSE)</f>
        <v>0</v>
      </c>
      <c r="M417" s="1098" t="s">
        <v>1700</v>
      </c>
      <c r="O417" s="277"/>
      <c r="P417" s="278"/>
    </row>
    <row r="418" spans="1:16" ht="13.95" customHeight="1" thickBot="1" x14ac:dyDescent="0.3">
      <c r="A418" s="169"/>
      <c r="B418" s="273"/>
      <c r="C418" s="378"/>
      <c r="J418" s="381" t="s">
        <v>220</v>
      </c>
      <c r="K418" s="1103">
        <f>VLOOKUP(J418,Mapping!E:F,2,FALSE)</f>
        <v>0</v>
      </c>
      <c r="L418" s="1099">
        <f>VLOOKUP($J418,Mapping!E:G,3,FALSE)</f>
        <v>0</v>
      </c>
      <c r="M418" s="1098" t="s">
        <v>1699</v>
      </c>
      <c r="O418" s="277"/>
      <c r="P418" s="278"/>
    </row>
    <row r="419" spans="1:16" ht="13.95" customHeight="1" thickBot="1" x14ac:dyDescent="0.3">
      <c r="A419" s="169"/>
      <c r="B419" s="273"/>
      <c r="C419" s="378"/>
      <c r="J419" s="381" t="s">
        <v>315</v>
      </c>
      <c r="K419" s="1103">
        <f>VLOOKUP(J419,Mapping!E:F,2,FALSE)</f>
        <v>0</v>
      </c>
      <c r="L419" s="1099">
        <f>VLOOKUP($J419,Mapping!E:G,3,FALSE)</f>
        <v>0</v>
      </c>
      <c r="M419" s="1098" t="s">
        <v>1700</v>
      </c>
      <c r="O419" s="277"/>
      <c r="P419" s="278"/>
    </row>
    <row r="420" spans="1:16" ht="13.95" customHeight="1" thickBot="1" x14ac:dyDescent="0.3">
      <c r="A420" s="169"/>
      <c r="B420" s="273"/>
      <c r="C420" s="378"/>
      <c r="J420" s="381" t="s">
        <v>316</v>
      </c>
      <c r="K420" s="1103">
        <f>VLOOKUP(J420,Mapping!E:F,2,FALSE)</f>
        <v>0</v>
      </c>
      <c r="L420" s="1099">
        <f>VLOOKUP($J420,Mapping!E:G,3,FALSE)</f>
        <v>0</v>
      </c>
      <c r="M420" s="1098" t="s">
        <v>1700</v>
      </c>
      <c r="O420" s="277"/>
      <c r="P420" s="278"/>
    </row>
    <row r="421" spans="1:16" ht="13.95" customHeight="1" thickBot="1" x14ac:dyDescent="0.3">
      <c r="A421" s="169"/>
      <c r="B421" s="273"/>
      <c r="C421" s="378"/>
      <c r="J421" s="381" t="s">
        <v>317</v>
      </c>
      <c r="K421" s="1103">
        <f>VLOOKUP(J421,Mapping!E:F,2,FALSE)</f>
        <v>0</v>
      </c>
      <c r="L421" s="1099">
        <f>VLOOKUP($J421,Mapping!E:G,3,FALSE)</f>
        <v>0</v>
      </c>
      <c r="M421" s="1098" t="s">
        <v>1700</v>
      </c>
      <c r="O421" s="277"/>
      <c r="P421" s="278"/>
    </row>
    <row r="422" spans="1:16" ht="13.95" customHeight="1" thickBot="1" x14ac:dyDescent="0.3">
      <c r="A422" s="169"/>
      <c r="B422" s="273"/>
      <c r="C422" s="378"/>
      <c r="J422" s="381" t="s">
        <v>318</v>
      </c>
      <c r="K422" s="1103">
        <f>VLOOKUP(J422,Mapping!E:F,2,FALSE)</f>
        <v>0</v>
      </c>
      <c r="L422" s="1099">
        <f>VLOOKUP($J422,Mapping!E:G,3,FALSE)</f>
        <v>0</v>
      </c>
      <c r="M422" s="1098" t="s">
        <v>1700</v>
      </c>
      <c r="O422" s="277"/>
      <c r="P422" s="278"/>
    </row>
    <row r="423" spans="1:16" ht="13.95" customHeight="1" thickBot="1" x14ac:dyDescent="0.3">
      <c r="A423" s="169"/>
      <c r="B423" s="273"/>
      <c r="C423" s="378"/>
      <c r="J423" s="381" t="s">
        <v>319</v>
      </c>
      <c r="K423" s="1103">
        <f>VLOOKUP(J423,Mapping!E:F,2,FALSE)</f>
        <v>0</v>
      </c>
      <c r="L423" s="1099">
        <f>VLOOKUP($J423,Mapping!E:G,3,FALSE)</f>
        <v>0</v>
      </c>
      <c r="M423" s="1098" t="s">
        <v>1700</v>
      </c>
      <c r="O423" s="277"/>
      <c r="P423" s="278"/>
    </row>
    <row r="424" spans="1:16" ht="13.95" customHeight="1" thickBot="1" x14ac:dyDescent="0.3">
      <c r="A424" s="169"/>
      <c r="B424" s="273"/>
      <c r="C424" s="378"/>
      <c r="J424" s="381" t="s">
        <v>320</v>
      </c>
      <c r="K424" s="1103">
        <f>VLOOKUP(J424,Mapping!E:F,2,FALSE)</f>
        <v>0</v>
      </c>
      <c r="L424" s="1099">
        <f>VLOOKUP($J424,Mapping!E:G,3,FALSE)</f>
        <v>0</v>
      </c>
      <c r="M424" s="1098" t="s">
        <v>1700</v>
      </c>
      <c r="O424" s="277"/>
      <c r="P424" s="278"/>
    </row>
    <row r="425" spans="1:16" ht="13.95" customHeight="1" thickBot="1" x14ac:dyDescent="0.3">
      <c r="A425" s="169"/>
      <c r="B425" s="273"/>
      <c r="C425" s="378"/>
      <c r="J425" s="381" t="s">
        <v>321</v>
      </c>
      <c r="K425" s="1103">
        <f>VLOOKUP(J425,Mapping!E:F,2,FALSE)</f>
        <v>0</v>
      </c>
      <c r="L425" s="1099">
        <f>VLOOKUP($J425,Mapping!E:G,3,FALSE)</f>
        <v>0</v>
      </c>
      <c r="M425" s="1098" t="s">
        <v>1700</v>
      </c>
      <c r="O425" s="277"/>
      <c r="P425" s="278"/>
    </row>
    <row r="426" spans="1:16" ht="13.95" customHeight="1" thickBot="1" x14ac:dyDescent="0.3">
      <c r="A426" s="169"/>
      <c r="B426" s="273"/>
      <c r="C426" s="378"/>
      <c r="J426" s="381" t="s">
        <v>322</v>
      </c>
      <c r="K426" s="1103">
        <f>VLOOKUP(J426,Mapping!E:F,2,FALSE)</f>
        <v>0</v>
      </c>
      <c r="L426" s="1099">
        <f>VLOOKUP($J426,Mapping!E:G,3,FALSE)</f>
        <v>0</v>
      </c>
      <c r="M426" s="1098" t="s">
        <v>1700</v>
      </c>
      <c r="O426" s="277"/>
      <c r="P426" s="278"/>
    </row>
    <row r="427" spans="1:16" ht="13.95" customHeight="1" thickBot="1" x14ac:dyDescent="0.3">
      <c r="A427" s="169"/>
      <c r="B427" s="273"/>
      <c r="C427" s="378"/>
      <c r="J427" s="381" t="s">
        <v>323</v>
      </c>
      <c r="K427" s="1103">
        <f>VLOOKUP(J427,Mapping!E:F,2,FALSE)</f>
        <v>0</v>
      </c>
      <c r="L427" s="1099">
        <f>VLOOKUP($J427,Mapping!E:G,3,FALSE)</f>
        <v>0</v>
      </c>
      <c r="M427" s="1098" t="s">
        <v>1700</v>
      </c>
      <c r="O427" s="277"/>
      <c r="P427" s="278"/>
    </row>
    <row r="428" spans="1:16" ht="13.95" customHeight="1" thickBot="1" x14ac:dyDescent="0.3">
      <c r="A428" s="169"/>
      <c r="B428" s="273"/>
      <c r="C428" s="378"/>
      <c r="J428" s="381" t="s">
        <v>324</v>
      </c>
      <c r="K428" s="1103">
        <f>VLOOKUP(J428,Mapping!E:F,2,FALSE)</f>
        <v>0</v>
      </c>
      <c r="L428" s="1099">
        <f>VLOOKUP($J428,Mapping!E:G,3,FALSE)</f>
        <v>0</v>
      </c>
      <c r="M428" s="1098" t="s">
        <v>1700</v>
      </c>
      <c r="O428" s="277"/>
      <c r="P428" s="278"/>
    </row>
    <row r="429" spans="1:16" ht="13.95" customHeight="1" thickBot="1" x14ac:dyDescent="0.3">
      <c r="A429" s="169"/>
      <c r="B429" s="273"/>
      <c r="C429" s="378"/>
      <c r="J429" s="381" t="s">
        <v>325</v>
      </c>
      <c r="K429" s="1103">
        <f>VLOOKUP(J429,Mapping!E:F,2,FALSE)</f>
        <v>0</v>
      </c>
      <c r="L429" s="1099">
        <f>VLOOKUP($J429,Mapping!E:G,3,FALSE)</f>
        <v>0</v>
      </c>
      <c r="M429" s="1098" t="s">
        <v>1700</v>
      </c>
      <c r="O429" s="277"/>
      <c r="P429" s="278"/>
    </row>
    <row r="430" spans="1:16" ht="13.95" customHeight="1" thickBot="1" x14ac:dyDescent="0.3">
      <c r="A430" s="169"/>
      <c r="B430" s="273"/>
      <c r="C430" s="378"/>
      <c r="J430" s="381" t="s">
        <v>326</v>
      </c>
      <c r="K430" s="1103">
        <f>VLOOKUP(J430,Mapping!E:F,2,FALSE)</f>
        <v>0</v>
      </c>
      <c r="L430" s="1099">
        <f>VLOOKUP($J430,Mapping!E:G,3,FALSE)</f>
        <v>0</v>
      </c>
      <c r="M430" s="1098" t="s">
        <v>1700</v>
      </c>
      <c r="O430" s="277"/>
      <c r="P430" s="278"/>
    </row>
    <row r="431" spans="1:16" ht="13.95" customHeight="1" thickBot="1" x14ac:dyDescent="0.3">
      <c r="A431" s="169"/>
      <c r="B431" s="273"/>
      <c r="C431" s="378"/>
      <c r="J431" s="381" t="s">
        <v>327</v>
      </c>
      <c r="K431" s="1103">
        <f>VLOOKUP(J431,Mapping!E:F,2,FALSE)</f>
        <v>0</v>
      </c>
      <c r="L431" s="1099">
        <f>VLOOKUP($J431,Mapping!E:G,3,FALSE)</f>
        <v>0</v>
      </c>
      <c r="M431" s="1098" t="s">
        <v>1700</v>
      </c>
      <c r="O431" s="277"/>
      <c r="P431" s="278"/>
    </row>
    <row r="432" spans="1:16" ht="13.95" customHeight="1" thickBot="1" x14ac:dyDescent="0.3">
      <c r="A432" s="169"/>
      <c r="B432" s="273"/>
      <c r="C432" s="378"/>
      <c r="J432" s="381" t="s">
        <v>328</v>
      </c>
      <c r="K432" s="1103">
        <f>VLOOKUP(J432,Mapping!E:F,2,FALSE)</f>
        <v>0</v>
      </c>
      <c r="L432" s="1099">
        <f>VLOOKUP($J432,Mapping!E:G,3,FALSE)</f>
        <v>0</v>
      </c>
      <c r="M432" s="1098" t="s">
        <v>1700</v>
      </c>
      <c r="O432" s="277"/>
      <c r="P432" s="278"/>
    </row>
    <row r="433" spans="1:16" ht="13.95" customHeight="1" thickBot="1" x14ac:dyDescent="0.3">
      <c r="A433" s="169"/>
      <c r="B433" s="273"/>
      <c r="C433" s="378"/>
      <c r="J433" s="381" t="s">
        <v>329</v>
      </c>
      <c r="K433" s="1103">
        <f>VLOOKUP(J433,Mapping!E:F,2,FALSE)</f>
        <v>0</v>
      </c>
      <c r="L433" s="1099">
        <f>VLOOKUP($J433,Mapping!E:G,3,FALSE)</f>
        <v>0</v>
      </c>
      <c r="M433" s="1098" t="s">
        <v>1700</v>
      </c>
      <c r="O433" s="277"/>
      <c r="P433" s="278"/>
    </row>
    <row r="434" spans="1:16" ht="13.95" customHeight="1" thickBot="1" x14ac:dyDescent="0.3">
      <c r="A434" s="169"/>
      <c r="B434" s="273"/>
      <c r="C434" s="378"/>
      <c r="J434" s="381" t="s">
        <v>330</v>
      </c>
      <c r="K434" s="1103">
        <f>VLOOKUP(J434,Mapping!E:F,2,FALSE)</f>
        <v>0</v>
      </c>
      <c r="L434" s="1099">
        <f>VLOOKUP($J434,Mapping!E:G,3,FALSE)</f>
        <v>0</v>
      </c>
      <c r="M434" s="1098" t="s">
        <v>1700</v>
      </c>
      <c r="O434" s="277"/>
      <c r="P434" s="278"/>
    </row>
    <row r="435" spans="1:16" ht="13.95" customHeight="1" thickBot="1" x14ac:dyDescent="0.3">
      <c r="A435" s="169"/>
      <c r="B435" s="273"/>
      <c r="C435" s="378"/>
      <c r="J435" s="381" t="s">
        <v>331</v>
      </c>
      <c r="K435" s="1103">
        <f>VLOOKUP(J435,Mapping!E:F,2,FALSE)</f>
        <v>0</v>
      </c>
      <c r="L435" s="1099">
        <f>VLOOKUP($J435,Mapping!E:G,3,FALSE)</f>
        <v>0</v>
      </c>
      <c r="M435" s="1098" t="s">
        <v>1691</v>
      </c>
      <c r="O435" s="277"/>
      <c r="P435" s="278"/>
    </row>
    <row r="436" spans="1:16" ht="13.95" customHeight="1" thickBot="1" x14ac:dyDescent="0.3">
      <c r="A436" s="169"/>
      <c r="B436" s="273"/>
      <c r="C436" s="378"/>
      <c r="J436" s="381" t="s">
        <v>332</v>
      </c>
      <c r="K436" s="1103">
        <f>VLOOKUP(J436,Mapping!E:F,2,FALSE)</f>
        <v>0</v>
      </c>
      <c r="L436" s="1099">
        <f>VLOOKUP($J436,Mapping!E:G,3,FALSE)</f>
        <v>0</v>
      </c>
      <c r="M436" s="1098" t="s">
        <v>1700</v>
      </c>
      <c r="O436" s="277"/>
      <c r="P436" s="278"/>
    </row>
    <row r="437" spans="1:16" ht="13.95" customHeight="1" thickBot="1" x14ac:dyDescent="0.3">
      <c r="A437" s="169"/>
      <c r="B437" s="273"/>
      <c r="C437" s="378"/>
      <c r="J437" s="381" t="s">
        <v>1077</v>
      </c>
      <c r="K437" s="1103">
        <f>VLOOKUP(J437,Mapping!E:F,2,FALSE)</f>
        <v>0</v>
      </c>
      <c r="L437" s="1099">
        <f>VLOOKUP($J437,Mapping!E:G,3,FALSE)</f>
        <v>0</v>
      </c>
      <c r="M437" s="1098" t="s">
        <v>1700</v>
      </c>
      <c r="O437" s="277"/>
      <c r="P437" s="278"/>
    </row>
    <row r="438" spans="1:16" ht="13.95" customHeight="1" thickBot="1" x14ac:dyDescent="0.3">
      <c r="A438" s="169"/>
      <c r="B438" s="273"/>
      <c r="C438" s="378"/>
      <c r="J438" s="381" t="s">
        <v>333</v>
      </c>
      <c r="K438" s="1103">
        <f>VLOOKUP(J438,Mapping!E:F,2,FALSE)</f>
        <v>0</v>
      </c>
      <c r="L438" s="1099">
        <f>VLOOKUP($J438,Mapping!E:G,3,FALSE)</f>
        <v>0</v>
      </c>
      <c r="M438" s="1098" t="s">
        <v>1700</v>
      </c>
      <c r="O438" s="277"/>
      <c r="P438" s="278"/>
    </row>
    <row r="439" spans="1:16" ht="13.95" customHeight="1" thickBot="1" x14ac:dyDescent="0.3">
      <c r="A439" s="169"/>
      <c r="B439" s="273"/>
      <c r="C439" s="378"/>
      <c r="J439" s="381" t="s">
        <v>334</v>
      </c>
      <c r="K439" s="1103">
        <f>VLOOKUP(J439,Mapping!E:F,2,FALSE)</f>
        <v>0</v>
      </c>
      <c r="L439" s="1099">
        <f>VLOOKUP($J439,Mapping!E:G,3,FALSE)</f>
        <v>0</v>
      </c>
      <c r="M439" s="1098" t="s">
        <v>1700</v>
      </c>
      <c r="O439" s="277"/>
      <c r="P439" s="278"/>
    </row>
    <row r="440" spans="1:16" ht="13.95" customHeight="1" thickBot="1" x14ac:dyDescent="0.3">
      <c r="A440" s="169"/>
      <c r="B440" s="273"/>
      <c r="C440" s="378"/>
      <c r="J440" s="381" t="s">
        <v>335</v>
      </c>
      <c r="K440" s="1103">
        <f>VLOOKUP(J440,Mapping!E:F,2,FALSE)</f>
        <v>0</v>
      </c>
      <c r="L440" s="1099">
        <f>VLOOKUP($J440,Mapping!E:G,3,FALSE)</f>
        <v>0</v>
      </c>
      <c r="M440" s="1098" t="s">
        <v>1700</v>
      </c>
      <c r="O440" s="277"/>
      <c r="P440" s="278"/>
    </row>
    <row r="441" spans="1:16" ht="13.95" customHeight="1" thickBot="1" x14ac:dyDescent="0.3">
      <c r="A441" s="169"/>
      <c r="B441" s="273"/>
      <c r="C441" s="378"/>
      <c r="J441" s="381" t="s">
        <v>336</v>
      </c>
      <c r="K441" s="1103">
        <f>VLOOKUP(J441,Mapping!E:F,2,FALSE)</f>
        <v>0</v>
      </c>
      <c r="L441" s="1099">
        <f>VLOOKUP($J441,Mapping!E:G,3,FALSE)</f>
        <v>0</v>
      </c>
      <c r="M441" s="1098" t="s">
        <v>1700</v>
      </c>
      <c r="O441" s="277"/>
      <c r="P441" s="278"/>
    </row>
    <row r="442" spans="1:16" ht="13.95" customHeight="1" thickBot="1" x14ac:dyDescent="0.3">
      <c r="A442" s="169"/>
      <c r="B442" s="273"/>
      <c r="C442" s="378"/>
      <c r="J442" s="381" t="s">
        <v>337</v>
      </c>
      <c r="K442" s="1103">
        <f>VLOOKUP(J442,Mapping!E:F,2,FALSE)</f>
        <v>0</v>
      </c>
      <c r="L442" s="1099">
        <f>VLOOKUP($J442,Mapping!E:G,3,FALSE)</f>
        <v>0</v>
      </c>
      <c r="M442" s="1098" t="s">
        <v>1700</v>
      </c>
      <c r="O442" s="277"/>
      <c r="P442" s="278"/>
    </row>
    <row r="443" spans="1:16" ht="13.95" customHeight="1" thickBot="1" x14ac:dyDescent="0.3">
      <c r="A443" s="169"/>
      <c r="B443" s="273"/>
      <c r="C443" s="378"/>
      <c r="J443" s="381" t="s">
        <v>338</v>
      </c>
      <c r="K443" s="1103">
        <f>VLOOKUP(J443,Mapping!E:F,2,FALSE)</f>
        <v>0</v>
      </c>
      <c r="L443" s="1099">
        <f>VLOOKUP($J443,Mapping!E:G,3,FALSE)</f>
        <v>0</v>
      </c>
      <c r="M443" s="1098" t="s">
        <v>1700</v>
      </c>
      <c r="O443" s="277"/>
      <c r="P443" s="278"/>
    </row>
    <row r="444" spans="1:16" ht="13.95" customHeight="1" thickBot="1" x14ac:dyDescent="0.3">
      <c r="A444" s="169"/>
      <c r="B444" s="273"/>
      <c r="C444" s="378"/>
      <c r="J444" s="381" t="s">
        <v>339</v>
      </c>
      <c r="K444" s="1103">
        <f>VLOOKUP(J444,Mapping!E:F,2,FALSE)</f>
        <v>0</v>
      </c>
      <c r="L444" s="1099">
        <f>VLOOKUP($J444,Mapping!E:G,3,FALSE)</f>
        <v>0</v>
      </c>
      <c r="M444" s="1098" t="s">
        <v>1700</v>
      </c>
      <c r="O444" s="277"/>
      <c r="P444" s="278"/>
    </row>
    <row r="445" spans="1:16" ht="13.95" customHeight="1" thickBot="1" x14ac:dyDescent="0.3">
      <c r="A445" s="169"/>
      <c r="B445" s="273"/>
      <c r="C445" s="378"/>
      <c r="J445" s="381" t="s">
        <v>340</v>
      </c>
      <c r="K445" s="1103">
        <f>VLOOKUP(J445,Mapping!E:F,2,FALSE)</f>
        <v>0</v>
      </c>
      <c r="L445" s="1099">
        <f>VLOOKUP($J445,Mapping!E:G,3,FALSE)</f>
        <v>0</v>
      </c>
      <c r="M445" s="1098" t="s">
        <v>1699</v>
      </c>
      <c r="O445" s="277"/>
      <c r="P445" s="278"/>
    </row>
    <row r="446" spans="1:16" ht="13.95" customHeight="1" thickBot="1" x14ac:dyDescent="0.3">
      <c r="A446" s="169"/>
      <c r="B446" s="273"/>
      <c r="C446" s="378"/>
      <c r="J446" s="381" t="s">
        <v>341</v>
      </c>
      <c r="K446" s="1103">
        <f>VLOOKUP(J446,Mapping!E:F,2,FALSE)</f>
        <v>0</v>
      </c>
      <c r="L446" s="1099">
        <f>VLOOKUP($J446,Mapping!E:G,3,FALSE)</f>
        <v>0</v>
      </c>
      <c r="M446" s="1098" t="s">
        <v>1700</v>
      </c>
      <c r="O446" s="277"/>
      <c r="P446" s="278"/>
    </row>
    <row r="447" spans="1:16" ht="13.95" customHeight="1" thickBot="1" x14ac:dyDescent="0.3">
      <c r="A447" s="169"/>
      <c r="B447" s="273"/>
      <c r="C447" s="378"/>
      <c r="J447" s="381" t="s">
        <v>342</v>
      </c>
      <c r="K447" s="1103">
        <f>VLOOKUP(J447,Mapping!E:F,2,FALSE)</f>
        <v>0</v>
      </c>
      <c r="L447" s="1099">
        <f>VLOOKUP($J447,Mapping!E:G,3,FALSE)</f>
        <v>0</v>
      </c>
      <c r="M447" s="1098" t="s">
        <v>1700</v>
      </c>
      <c r="O447" s="277"/>
      <c r="P447" s="278"/>
    </row>
    <row r="448" spans="1:16" ht="13.95" customHeight="1" thickBot="1" x14ac:dyDescent="0.3">
      <c r="A448" s="169"/>
      <c r="B448" s="273"/>
      <c r="C448" s="378"/>
      <c r="J448" s="381" t="s">
        <v>343</v>
      </c>
      <c r="K448" s="1103">
        <f>VLOOKUP(J448,Mapping!E:F,2,FALSE)</f>
        <v>0</v>
      </c>
      <c r="L448" s="1099">
        <f>VLOOKUP($J448,Mapping!E:G,3,FALSE)</f>
        <v>0</v>
      </c>
      <c r="M448" s="1098" t="s">
        <v>1699</v>
      </c>
      <c r="O448" s="277"/>
      <c r="P448" s="278"/>
    </row>
    <row r="449" spans="1:16" ht="13.95" customHeight="1" thickBot="1" x14ac:dyDescent="0.3">
      <c r="A449" s="169"/>
      <c r="B449" s="273"/>
      <c r="C449" s="378"/>
      <c r="J449" s="474" t="s">
        <v>932</v>
      </c>
      <c r="K449" s="1103" t="e">
        <f>VLOOKUP(J449,Mapping!E:F,2,FALSE)</f>
        <v>#N/A</v>
      </c>
      <c r="L449" s="1100" t="e">
        <f>VLOOKUP($J449,Mapping!E:G,3,FALSE)</f>
        <v>#N/A</v>
      </c>
      <c r="M449" s="1098"/>
      <c r="O449" s="277"/>
      <c r="P449" s="278"/>
    </row>
    <row r="450" spans="1:16" ht="13.95" customHeight="1" thickBot="1" x14ac:dyDescent="0.3">
      <c r="A450" s="169"/>
      <c r="B450" s="273"/>
      <c r="C450" s="378"/>
      <c r="J450" s="474" t="s">
        <v>933</v>
      </c>
      <c r="K450" s="1103" t="e">
        <f>VLOOKUP(J450,Mapping!E:F,2,FALSE)</f>
        <v>#N/A</v>
      </c>
      <c r="L450" s="1100" t="e">
        <f>VLOOKUP($J450,Mapping!E:G,3,FALSE)</f>
        <v>#N/A</v>
      </c>
      <c r="M450" s="1098"/>
      <c r="O450" s="277"/>
      <c r="P450" s="278"/>
    </row>
    <row r="451" spans="1:16" ht="13.95" customHeight="1" thickBot="1" x14ac:dyDescent="0.3">
      <c r="A451" s="169"/>
      <c r="B451" s="273"/>
      <c r="C451" s="378"/>
      <c r="J451" s="474" t="s">
        <v>1709</v>
      </c>
      <c r="K451" s="1103" t="e">
        <f>VLOOKUP(J451,Mapping!E:F,2,FALSE)</f>
        <v>#N/A</v>
      </c>
      <c r="L451" s="1100" t="e">
        <f>VLOOKUP($J451,Mapping!E:G,3,FALSE)</f>
        <v>#N/A</v>
      </c>
      <c r="M451" s="1098"/>
      <c r="O451" s="277"/>
      <c r="P451" s="278"/>
    </row>
    <row r="452" spans="1:16" ht="13.95" customHeight="1" thickBot="1" x14ac:dyDescent="0.3">
      <c r="A452" s="169"/>
      <c r="B452" s="273"/>
      <c r="C452" s="378"/>
      <c r="J452" s="474" t="s">
        <v>935</v>
      </c>
      <c r="K452" s="1103" t="e">
        <f>VLOOKUP(J452,Mapping!E:F,2,FALSE)</f>
        <v>#N/A</v>
      </c>
      <c r="L452" s="1100" t="e">
        <f>VLOOKUP($J452,Mapping!E:G,3,FALSE)</f>
        <v>#N/A</v>
      </c>
      <c r="M452" s="1098"/>
      <c r="O452" s="277"/>
      <c r="P452" s="278"/>
    </row>
    <row r="453" spans="1:16" ht="13.95" customHeight="1" thickBot="1" x14ac:dyDescent="0.3">
      <c r="A453" s="169"/>
      <c r="B453" s="273"/>
      <c r="C453" s="378"/>
      <c r="J453" s="474" t="s">
        <v>936</v>
      </c>
      <c r="K453" s="1103" t="e">
        <f>VLOOKUP(J453,Mapping!E:F,2,FALSE)</f>
        <v>#N/A</v>
      </c>
      <c r="L453" s="1100" t="e">
        <f>VLOOKUP($J453,Mapping!E:G,3,FALSE)</f>
        <v>#N/A</v>
      </c>
      <c r="M453" s="1098"/>
      <c r="O453" s="277"/>
      <c r="P453" s="278"/>
    </row>
    <row r="454" spans="1:16" ht="13.95" customHeight="1" thickBot="1" x14ac:dyDescent="0.3">
      <c r="A454" s="169"/>
      <c r="B454" s="273"/>
      <c r="C454" s="378"/>
      <c r="J454" s="474" t="s">
        <v>937</v>
      </c>
      <c r="K454" s="1103" t="e">
        <f>VLOOKUP(J454,Mapping!E:F,2,FALSE)</f>
        <v>#N/A</v>
      </c>
      <c r="L454" s="1100" t="e">
        <f>VLOOKUP($J454,Mapping!E:G,3,FALSE)</f>
        <v>#N/A</v>
      </c>
      <c r="M454" s="1098"/>
      <c r="O454" s="277"/>
      <c r="P454" s="278"/>
    </row>
    <row r="455" spans="1:16" ht="13.95" customHeight="1" thickBot="1" x14ac:dyDescent="0.3">
      <c r="A455" s="169"/>
      <c r="B455" s="273"/>
      <c r="C455" s="378"/>
      <c r="J455" s="474" t="s">
        <v>938</v>
      </c>
      <c r="K455" s="1103" t="e">
        <f>VLOOKUP(J455,Mapping!E:F,2,FALSE)</f>
        <v>#N/A</v>
      </c>
      <c r="L455" s="1100" t="e">
        <f>VLOOKUP($J455,Mapping!E:G,3,FALSE)</f>
        <v>#N/A</v>
      </c>
      <c r="M455" s="1098"/>
      <c r="O455" s="277"/>
      <c r="P455" s="278"/>
    </row>
    <row r="456" spans="1:16" ht="13.95" customHeight="1" thickBot="1" x14ac:dyDescent="0.3">
      <c r="A456" s="169"/>
      <c r="B456" s="273"/>
      <c r="C456" s="378"/>
      <c r="J456" s="474" t="s">
        <v>939</v>
      </c>
      <c r="K456" s="1103" t="e">
        <f>VLOOKUP(J456,Mapping!E:F,2,FALSE)</f>
        <v>#N/A</v>
      </c>
      <c r="L456" s="1100" t="e">
        <f>VLOOKUP($J456,Mapping!E:G,3,FALSE)</f>
        <v>#N/A</v>
      </c>
      <c r="M456" s="1098"/>
      <c r="O456" s="277"/>
      <c r="P456" s="278"/>
    </row>
    <row r="457" spans="1:16" ht="13.95" customHeight="1" thickBot="1" x14ac:dyDescent="0.3">
      <c r="A457" s="169"/>
      <c r="B457" s="273"/>
      <c r="C457" s="378"/>
      <c r="J457" s="474" t="s">
        <v>940</v>
      </c>
      <c r="K457" s="1103" t="e">
        <f>VLOOKUP(J457,Mapping!E:F,2,FALSE)</f>
        <v>#N/A</v>
      </c>
      <c r="L457" s="1100" t="e">
        <f>VLOOKUP($J457,Mapping!E:G,3,FALSE)</f>
        <v>#N/A</v>
      </c>
      <c r="M457" s="1098"/>
      <c r="O457" s="277"/>
      <c r="P457" s="278"/>
    </row>
    <row r="458" spans="1:16" ht="13.95" customHeight="1" thickBot="1" x14ac:dyDescent="0.3">
      <c r="A458" s="169"/>
      <c r="B458" s="273"/>
      <c r="C458" s="378"/>
      <c r="J458" s="474" t="s">
        <v>941</v>
      </c>
      <c r="K458" s="1103" t="e">
        <f>VLOOKUP(J458,Mapping!E:F,2,FALSE)</f>
        <v>#N/A</v>
      </c>
      <c r="L458" s="1100" t="e">
        <f>VLOOKUP($J458,Mapping!E:G,3,FALSE)</f>
        <v>#N/A</v>
      </c>
      <c r="M458" s="1098"/>
      <c r="O458" s="277"/>
      <c r="P458" s="278"/>
    </row>
    <row r="459" spans="1:16" ht="13.95" customHeight="1" thickBot="1" x14ac:dyDescent="0.3">
      <c r="A459" s="169"/>
      <c r="B459" s="273"/>
      <c r="C459" s="378"/>
      <c r="J459" s="474" t="s">
        <v>942</v>
      </c>
      <c r="K459" s="1103" t="e">
        <f>VLOOKUP(J459,Mapping!E:F,2,FALSE)</f>
        <v>#N/A</v>
      </c>
      <c r="L459" s="1100" t="e">
        <f>VLOOKUP($J459,Mapping!E:G,3,FALSE)</f>
        <v>#N/A</v>
      </c>
      <c r="M459" s="1098"/>
      <c r="O459" s="277"/>
      <c r="P459" s="278"/>
    </row>
    <row r="460" spans="1:16" ht="13.95" customHeight="1" thickBot="1" x14ac:dyDescent="0.3">
      <c r="A460" s="169"/>
      <c r="B460" s="273"/>
      <c r="C460" s="378"/>
      <c r="J460" s="474" t="s">
        <v>943</v>
      </c>
      <c r="K460" s="1103" t="e">
        <f>VLOOKUP(J460,Mapping!E:F,2,FALSE)</f>
        <v>#N/A</v>
      </c>
      <c r="L460" s="1100" t="e">
        <f>VLOOKUP($J460,Mapping!E:G,3,FALSE)</f>
        <v>#N/A</v>
      </c>
      <c r="M460" s="1098"/>
      <c r="O460" s="277"/>
      <c r="P460" s="278"/>
    </row>
    <row r="461" spans="1:16" ht="13.95" customHeight="1" thickBot="1" x14ac:dyDescent="0.3">
      <c r="A461" s="240"/>
      <c r="B461" s="273"/>
      <c r="C461" s="378"/>
      <c r="J461" s="474" t="s">
        <v>944</v>
      </c>
      <c r="K461" s="1103" t="e">
        <f>VLOOKUP(J461,Mapping!E:F,2,FALSE)</f>
        <v>#N/A</v>
      </c>
      <c r="L461" s="1100" t="e">
        <f>VLOOKUP($J461,Mapping!E:G,3,FALSE)</f>
        <v>#N/A</v>
      </c>
      <c r="M461" s="1098"/>
      <c r="O461" s="277"/>
      <c r="P461" s="240"/>
    </row>
    <row r="462" spans="1:16" ht="13.95" customHeight="1" thickBot="1" x14ac:dyDescent="0.3">
      <c r="A462" s="240"/>
      <c r="B462" s="273"/>
      <c r="C462" s="378"/>
      <c r="J462" s="474" t="s">
        <v>1710</v>
      </c>
      <c r="K462" s="1103" t="e">
        <f>VLOOKUP(J462,Mapping!E:F,2,FALSE)</f>
        <v>#N/A</v>
      </c>
      <c r="L462" s="1100" t="e">
        <f>VLOOKUP($J462,Mapping!E:G,3,FALSE)</f>
        <v>#N/A</v>
      </c>
      <c r="M462" s="1098"/>
      <c r="O462" s="277"/>
      <c r="P462" s="240"/>
    </row>
    <row r="463" spans="1:16" ht="13.95" customHeight="1" thickBot="1" x14ac:dyDescent="0.3">
      <c r="A463" s="240"/>
      <c r="B463" s="273"/>
      <c r="C463" s="378"/>
      <c r="J463" s="474" t="s">
        <v>946</v>
      </c>
      <c r="K463" s="1103" t="e">
        <f>VLOOKUP(J463,Mapping!E:F,2,FALSE)</f>
        <v>#N/A</v>
      </c>
      <c r="L463" s="1100" t="e">
        <f>VLOOKUP($J463,Mapping!E:G,3,FALSE)</f>
        <v>#N/A</v>
      </c>
      <c r="M463" s="1098"/>
      <c r="O463" s="277"/>
      <c r="P463" s="240"/>
    </row>
    <row r="464" spans="1:16" ht="13.95" customHeight="1" thickBot="1" x14ac:dyDescent="0.3">
      <c r="A464" s="240"/>
      <c r="B464" s="273"/>
      <c r="C464" s="378"/>
      <c r="J464" s="474" t="s">
        <v>947</v>
      </c>
      <c r="K464" s="1103" t="e">
        <f>VLOOKUP(J464,Mapping!E:F,2,FALSE)</f>
        <v>#N/A</v>
      </c>
      <c r="L464" s="1100" t="e">
        <f>VLOOKUP($J464,Mapping!E:G,3,FALSE)</f>
        <v>#N/A</v>
      </c>
      <c r="M464" s="1098"/>
      <c r="O464" s="277"/>
      <c r="P464" s="240"/>
    </row>
    <row r="465" spans="1:16" ht="13.95" customHeight="1" thickBot="1" x14ac:dyDescent="0.3">
      <c r="A465" s="240"/>
      <c r="B465" s="273"/>
      <c r="C465" s="378"/>
      <c r="J465" s="474" t="s">
        <v>948</v>
      </c>
      <c r="K465" s="1103" t="e">
        <f>VLOOKUP(J465,Mapping!E:F,2,FALSE)</f>
        <v>#N/A</v>
      </c>
      <c r="L465" s="1100" t="e">
        <f>VLOOKUP($J465,Mapping!E:G,3,FALSE)</f>
        <v>#N/A</v>
      </c>
      <c r="M465" s="1098"/>
      <c r="O465" s="277"/>
      <c r="P465" s="240"/>
    </row>
    <row r="466" spans="1:16" ht="13.95" customHeight="1" thickBot="1" x14ac:dyDescent="0.3">
      <c r="A466" s="943"/>
      <c r="B466" s="273"/>
      <c r="C466" s="378"/>
      <c r="J466" s="474" t="s">
        <v>949</v>
      </c>
      <c r="K466" s="1103" t="e">
        <f>VLOOKUP(J466,Mapping!E:F,2,FALSE)</f>
        <v>#N/A</v>
      </c>
      <c r="L466" s="1100" t="e">
        <f>VLOOKUP($J466,Mapping!E:G,3,FALSE)</f>
        <v>#N/A</v>
      </c>
      <c r="M466" s="1098"/>
      <c r="O466" s="277"/>
      <c r="P466" s="942"/>
    </row>
    <row r="467" spans="1:16" ht="13.95" customHeight="1" thickBot="1" x14ac:dyDescent="0.3">
      <c r="A467" s="943"/>
      <c r="B467" s="273"/>
      <c r="C467" s="378"/>
      <c r="J467" s="474" t="s">
        <v>950</v>
      </c>
      <c r="K467" s="1103" t="e">
        <f>VLOOKUP(J467,Mapping!E:F,2,FALSE)</f>
        <v>#N/A</v>
      </c>
      <c r="L467" s="1100" t="e">
        <f>VLOOKUP($J467,Mapping!E:G,3,FALSE)</f>
        <v>#N/A</v>
      </c>
      <c r="M467" s="1098"/>
      <c r="O467" s="277"/>
      <c r="P467" s="942"/>
    </row>
    <row r="468" spans="1:16" ht="13.95" customHeight="1" thickBot="1" x14ac:dyDescent="0.3">
      <c r="A468" s="943"/>
      <c r="B468" s="273"/>
      <c r="C468" s="378"/>
      <c r="J468" s="474" t="s">
        <v>951</v>
      </c>
      <c r="K468" s="1103" t="e">
        <f>VLOOKUP(J468,Mapping!E:F,2,FALSE)</f>
        <v>#N/A</v>
      </c>
      <c r="L468" s="1100" t="e">
        <f>VLOOKUP($J468,Mapping!E:G,3,FALSE)</f>
        <v>#N/A</v>
      </c>
      <c r="M468" s="1098"/>
      <c r="O468" s="277"/>
      <c r="P468" s="942"/>
    </row>
    <row r="469" spans="1:16" ht="13.95" customHeight="1" thickBot="1" x14ac:dyDescent="0.3">
      <c r="A469" s="943"/>
      <c r="B469" s="273"/>
      <c r="C469" s="378"/>
      <c r="J469" s="474" t="s">
        <v>952</v>
      </c>
      <c r="K469" s="1103" t="e">
        <f>VLOOKUP(J469,Mapping!E:F,2,FALSE)</f>
        <v>#N/A</v>
      </c>
      <c r="L469" s="1100" t="e">
        <f>VLOOKUP($J469,Mapping!E:G,3,FALSE)</f>
        <v>#N/A</v>
      </c>
      <c r="M469" s="1098"/>
      <c r="O469" s="277"/>
      <c r="P469" s="942"/>
    </row>
    <row r="470" spans="1:16" ht="13.95" customHeight="1" x14ac:dyDescent="0.25">
      <c r="A470" s="943"/>
      <c r="B470" s="273"/>
      <c r="C470" s="378"/>
      <c r="J470" s="474" t="s">
        <v>953</v>
      </c>
      <c r="K470" s="1103" t="e">
        <f>VLOOKUP(J470,Mapping!E:F,2,FALSE)</f>
        <v>#N/A</v>
      </c>
      <c r="L470" s="1100" t="e">
        <f>VLOOKUP($J470,Mapping!E:G,3,FALSE)</f>
        <v>#N/A</v>
      </c>
      <c r="M470" s="1098"/>
      <c r="O470" s="277"/>
      <c r="P470" s="942"/>
    </row>
    <row r="471" spans="1:16" ht="13.95" customHeight="1" x14ac:dyDescent="0.25">
      <c r="A471" s="943"/>
      <c r="B471" s="273"/>
      <c r="C471" s="378"/>
      <c r="O471" s="277"/>
      <c r="P471" s="942"/>
    </row>
    <row r="472" spans="1:16" ht="13.95" customHeight="1" x14ac:dyDescent="0.25">
      <c r="A472" s="943"/>
      <c r="B472" s="384"/>
      <c r="C472" s="382"/>
      <c r="D472" s="302"/>
      <c r="E472" s="302"/>
      <c r="F472" s="302"/>
      <c r="G472" s="302"/>
      <c r="H472" s="302"/>
      <c r="I472" s="302"/>
      <c r="J472" s="302"/>
      <c r="K472" s="302"/>
      <c r="L472" s="302"/>
      <c r="M472" s="302"/>
      <c r="N472" s="302"/>
      <c r="O472" s="383"/>
      <c r="P472" s="942"/>
    </row>
    <row r="473" spans="1:16" ht="13.95" customHeight="1" x14ac:dyDescent="0.25">
      <c r="A473" s="943"/>
      <c r="B473" s="240"/>
      <c r="C473" s="240"/>
      <c r="D473" s="240"/>
      <c r="E473" s="249"/>
      <c r="F473" s="249"/>
      <c r="G473" s="240"/>
      <c r="H473" s="240"/>
      <c r="I473" s="240"/>
      <c r="J473" s="240"/>
      <c r="K473" s="249"/>
      <c r="L473" s="249"/>
      <c r="M473" s="249"/>
      <c r="N473" s="240"/>
      <c r="O473" s="240"/>
      <c r="P473" s="942"/>
    </row>
  </sheetData>
  <sheetProtection sheet="1" formatCells="0" formatColumns="0" formatRows="0" autoFilter="0"/>
  <mergeCells count="4">
    <mergeCell ref="D6:G6"/>
    <mergeCell ref="J6:N6"/>
    <mergeCell ref="D8:E8"/>
    <mergeCell ref="J8:K8"/>
  </mergeCells>
  <pageMargins left="0.7" right="0.7" top="0.75" bottom="0.75" header="0.3" footer="0.3"/>
  <pageSetup paperSize="9" orientation="portrait" r:id="rId1"/>
  <ignoredErrors>
    <ignoredError sqref="M80 M83 M81:M82 M84:M448" calculatedColumn="1"/>
    <ignoredError sqref="K449:L470" evalError="1"/>
  </ignoredErrors>
  <drawing r:id="rId2"/>
  <tableParts count="2">
    <tablePart r:id="rId3"/>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0058B1"/>
  </sheetPr>
  <dimension ref="A1:W48"/>
  <sheetViews>
    <sheetView showGridLines="0" tabSelected="1" zoomScale="80" zoomScaleNormal="80" workbookViewId="0"/>
  </sheetViews>
  <sheetFormatPr defaultColWidth="9.1796875" defaultRowHeight="13.8" x14ac:dyDescent="0.25"/>
  <cols>
    <col min="1" max="2" width="1.6328125" style="250" customWidth="1"/>
    <col min="3" max="3" width="2.6328125" style="251" customWidth="1"/>
    <col min="4" max="4" width="14.6328125" style="250" customWidth="1"/>
    <col min="5" max="5" width="30.6328125" style="250" customWidth="1"/>
    <col min="6" max="6" width="6.6328125" style="250" customWidth="1"/>
    <col min="7" max="7" width="3.6328125" style="252" customWidth="1"/>
    <col min="8" max="8" width="14.6328125" style="250" customWidth="1"/>
    <col min="9" max="9" width="30.6328125" style="250" customWidth="1"/>
    <col min="10" max="10" width="6.6328125" style="250" customWidth="1"/>
    <col min="11" max="11" width="3.6328125" style="250" customWidth="1"/>
    <col min="12" max="15" width="1.6328125" style="250" customWidth="1"/>
    <col min="16" max="16" width="25.6328125" style="250" customWidth="1"/>
    <col min="17" max="21" width="25.6328125" style="253" customWidth="1"/>
    <col min="22" max="22" width="1.6328125" style="253" customWidth="1"/>
    <col min="23" max="23" width="1.6328125" style="250" customWidth="1"/>
    <col min="24" max="16384" width="9.1796875" style="250"/>
  </cols>
  <sheetData>
    <row r="1" spans="1:23" s="143" customFormat="1" ht="11.4" x14ac:dyDescent="0.25">
      <c r="A1" s="138"/>
      <c r="B1" s="138"/>
      <c r="C1" s="139"/>
      <c r="D1" s="138"/>
      <c r="E1" s="138"/>
      <c r="F1" s="138"/>
      <c r="G1" s="140"/>
      <c r="H1" s="138"/>
      <c r="I1" s="140"/>
      <c r="J1" s="140"/>
      <c r="K1" s="140"/>
      <c r="L1" s="138"/>
      <c r="M1" s="138"/>
      <c r="N1" s="138"/>
      <c r="O1" s="138"/>
      <c r="P1" s="138"/>
      <c r="Q1" s="138"/>
      <c r="R1" s="138"/>
      <c r="S1" s="138"/>
      <c r="T1" s="138"/>
      <c r="U1" s="138"/>
      <c r="V1" s="138"/>
      <c r="W1" s="138"/>
    </row>
    <row r="2" spans="1:23" s="151" customFormat="1" ht="10.050000000000001" customHeight="1" x14ac:dyDescent="0.2">
      <c r="A2" s="144"/>
      <c r="B2" s="145"/>
      <c r="C2" s="146"/>
      <c r="D2" s="147"/>
      <c r="E2" s="147"/>
      <c r="F2" s="148"/>
      <c r="G2" s="149"/>
      <c r="H2" s="148"/>
      <c r="I2" s="148"/>
      <c r="J2" s="148"/>
      <c r="K2" s="148"/>
      <c r="L2" s="150"/>
      <c r="M2" s="144"/>
      <c r="N2" s="138"/>
      <c r="O2" s="869"/>
      <c r="P2" s="1175" t="str">
        <f>IF(VLOOKUP(CONCATENATE($C$3,"-",41),Languages!$A:$D,1,TRUE)=CONCATENATE($C$3,"-",41),VLOOKUP(CONCATENATE($C$3,"-",41),Languages!$A:$D,Summary!$C$7,TRUE),NA())</f>
        <v>Arvioinnin kohteena oleva toiminto (laajempi ohje löytyy Kybermittarin käyttöohjeesta)
Arviointi suositellaan kohdistamaan toimintoihin, joita organisaatio tarvitsee tuottaakseen joko yhteiskunnan tai oman (liike)toimintansa kannalta kriittisiä palveluita. Kybermittarin ensisijainenkohde ovat yhteiskunnan toiminnan kannalta huoltovarmuuskriittiset organisaatiot, mutta malli sopii yhtä hyvin kaikenlaisten organisaatioiden käytötön. Tällöin tarkasteltavaksi valitaan esimerkiksi organisaation oman liiketoiminnan kannalta kriittiset toiminnot ja niiden toimintavarmuuden kannalta tärkeimmät riippuvuudet. Mikäli halutaan tarkastella kerralla useita toiminnan osa-alueita, on suositeltavaa muodostaa jokaisesta omat arviointinsa.
Rajaus voidaan toteuttaa monella tapaa, esimerkiksi:
 * Kattamaan koko organisaatio, esim. pienissä ja keskisuurissa yrityksissä;
 * Organisaatiorakenteen mukaisesti, esim. maa- tai liiketoimintayksikköön;
 * Toimintojen mukaisesti, esim. yli organisaatiorajojen tuotettuun palveluun.  
Kriittisten palveluiden ja toimintojen lisäksi arvioinnin kohteen määrittämiseksi tulee tunnistaa näiden toimintavarmuuden kannalta tärkeimmät riippuvuudet. Tällaisia ovat lähtökohtaisesti kaikki kriittisten palveluiden tuottamiseen liittyvät:
 * Liiketoimintaprosessit ja operatiiviset prosessit;
 * Järjestelmät ja osajärjestelmät; ja
 * Tietovarannot
Palvelu on yhteiskunnalle kriittinen, mikäli sen häiriö vaikuttaa merkittävään asiakasmäärään, laajaan maantieteelliseen alueeseen tai palvelun häiriöllä on vakavia seurannaisvaikutuksia. Kriittisyyden määrittelyssä auttavat esimerkiksi Huoltovarmuuskeskuksen toimialamääritykset. Liiketoiminnan kannalta kriittisten palveluiden tunnistaminen kannattaa aloittaa esimerkiksi organisaation tavoitteista tai liiketoimintastrategian painopistealueista.</v>
      </c>
      <c r="Q2" s="1175"/>
      <c r="R2" s="1175"/>
      <c r="S2" s="1175"/>
      <c r="T2" s="1175"/>
      <c r="U2" s="1175"/>
      <c r="V2" s="1175"/>
      <c r="W2" s="138"/>
    </row>
    <row r="3" spans="1:23" s="151" customFormat="1" ht="18" customHeight="1" x14ac:dyDescent="0.2">
      <c r="A3" s="144"/>
      <c r="B3" s="152"/>
      <c r="C3" s="153" t="s">
        <v>477</v>
      </c>
      <c r="E3" s="728" t="s">
        <v>3117</v>
      </c>
      <c r="F3" s="154"/>
      <c r="G3" s="155"/>
      <c r="H3" s="156" t="str">
        <f>IF(VLOOKUP("GEN-SEC",Languages!$A:$D,1,TRUE)="GEN-SEC",VLOOKUP("GEN-SEC",Languages!$A:$D,Summary!$C$7,TRUE),NA())</f>
        <v>Tiedon luokittelu</v>
      </c>
      <c r="I3" s="154"/>
      <c r="J3" s="154"/>
      <c r="K3" s="154"/>
      <c r="L3" s="157"/>
      <c r="M3" s="144"/>
      <c r="N3" s="138"/>
      <c r="O3" s="869"/>
      <c r="P3" s="1175"/>
      <c r="Q3" s="1175"/>
      <c r="R3" s="1175"/>
      <c r="S3" s="1175"/>
      <c r="T3" s="1175"/>
      <c r="U3" s="1175"/>
      <c r="V3" s="1175"/>
      <c r="W3" s="138"/>
    </row>
    <row r="4" spans="1:23" s="151" customFormat="1" ht="19.95" customHeight="1" x14ac:dyDescent="0.3">
      <c r="A4" s="144"/>
      <c r="B4" s="152"/>
      <c r="C4" s="158" t="str">
        <f>IF(VLOOKUP($C$3,Languages!$A:$D,1,TRUE)=$C$3,VLOOKUP($C$3,Languages!$A:$D,Summary!$C$7,TRUE),NA())</f>
        <v>Kyberturvallisuuden arviointityökalu</v>
      </c>
      <c r="E4" s="159"/>
      <c r="F4" s="154"/>
      <c r="G4" s="155"/>
      <c r="H4" s="1150"/>
      <c r="I4" s="154"/>
      <c r="J4" s="154"/>
      <c r="K4" s="154"/>
      <c r="L4" s="157"/>
      <c r="M4" s="144"/>
      <c r="N4" s="138"/>
      <c r="O4" s="869"/>
      <c r="P4" s="1175"/>
      <c r="Q4" s="1175"/>
      <c r="R4" s="1175"/>
      <c r="S4" s="1175"/>
      <c r="T4" s="1175"/>
      <c r="U4" s="1175"/>
      <c r="V4" s="1175"/>
      <c r="W4" s="138"/>
    </row>
    <row r="5" spans="1:23" s="143" customFormat="1" ht="10.050000000000001" customHeight="1" x14ac:dyDescent="0.25">
      <c r="A5" s="138"/>
      <c r="B5" s="160"/>
      <c r="C5" s="161"/>
      <c r="D5" s="162"/>
      <c r="E5" s="162"/>
      <c r="F5" s="162"/>
      <c r="G5" s="163"/>
      <c r="H5" s="162"/>
      <c r="I5" s="163"/>
      <c r="J5" s="163"/>
      <c r="K5" s="163"/>
      <c r="L5" s="164"/>
      <c r="M5" s="254"/>
      <c r="N5" s="138"/>
      <c r="O5" s="870"/>
      <c r="P5" s="1175"/>
      <c r="Q5" s="1175"/>
      <c r="R5" s="1175"/>
      <c r="S5" s="1175"/>
      <c r="T5" s="1175"/>
      <c r="U5" s="1175"/>
      <c r="V5" s="1175"/>
      <c r="W5" s="138"/>
    </row>
    <row r="6" spans="1:23" s="143" customFormat="1" ht="101.55" customHeight="1" thickBot="1" x14ac:dyDescent="0.3">
      <c r="A6" s="138"/>
      <c r="B6" s="160"/>
      <c r="C6" s="1170" t="str">
        <f>IF(VLOOKUP(CONCATENATE(C3,"-0"),Languages!$A:$D,1,TRUE)=CONCATENATE(C3,"-0"),VLOOKUP(CONCATENATE(C3,"-0"),Languages!$A:$D,Summary!$C$7,TRUE),NA())</f>
        <v xml:space="preserve">Kybermittari versio 2.0, 04.10.2022
https://www.kybermittari.fi 
Palaute ja kysymykset: kybermittari(at)traficom.fi
Materiaali on käytettävissä Creative Commons Nimeä 4.0 / CC BY 4.0 lisenssiehtojen mukaisesti. 
Kybermittari on rekisteröity tavaramerkki (sanamerkki). </v>
      </c>
      <c r="D6" s="1170"/>
      <c r="E6" s="1170"/>
      <c r="F6" s="1170"/>
      <c r="G6" s="1170"/>
      <c r="H6" s="1170"/>
      <c r="I6" s="1170"/>
      <c r="J6" s="1170"/>
      <c r="K6" s="165"/>
      <c r="L6" s="164"/>
      <c r="M6" s="254"/>
      <c r="N6" s="138"/>
      <c r="O6" s="870"/>
      <c r="P6" s="1175"/>
      <c r="Q6" s="1175"/>
      <c r="R6" s="1175"/>
      <c r="S6" s="1175"/>
      <c r="T6" s="1175"/>
      <c r="U6" s="1175"/>
      <c r="V6" s="1175"/>
      <c r="W6" s="138"/>
    </row>
    <row r="7" spans="1:23" s="143" customFormat="1" ht="18" customHeight="1" thickBot="1" x14ac:dyDescent="0.3">
      <c r="A7" s="138"/>
      <c r="B7" s="160"/>
      <c r="C7" s="166">
        <f>MATCH(H7,Languages!1:1,0)</f>
        <v>3</v>
      </c>
      <c r="E7" s="1177" t="s">
        <v>671</v>
      </c>
      <c r="F7" s="1178"/>
      <c r="G7" s="167"/>
      <c r="H7" s="1151" t="s">
        <v>668</v>
      </c>
      <c r="I7" s="168"/>
      <c r="J7" s="168"/>
      <c r="K7" s="168"/>
      <c r="L7" s="164"/>
      <c r="M7" s="254"/>
      <c r="N7" s="138"/>
      <c r="O7" s="870"/>
      <c r="P7" s="1175"/>
      <c r="Q7" s="1175"/>
      <c r="R7" s="1175"/>
      <c r="S7" s="1175"/>
      <c r="T7" s="1175"/>
      <c r="U7" s="1175"/>
      <c r="V7" s="1175"/>
      <c r="W7" s="138"/>
    </row>
    <row r="8" spans="1:23" s="143" customFormat="1" ht="10.050000000000001" customHeight="1" x14ac:dyDescent="0.25">
      <c r="A8" s="138"/>
      <c r="B8" s="160"/>
      <c r="C8" s="166"/>
      <c r="D8" s="156"/>
      <c r="E8" s="156"/>
      <c r="F8" s="156"/>
      <c r="G8" s="167"/>
      <c r="H8" s="168"/>
      <c r="I8" s="168"/>
      <c r="J8" s="168"/>
      <c r="K8" s="168"/>
      <c r="L8" s="164"/>
      <c r="M8" s="254"/>
      <c r="N8" s="138"/>
      <c r="O8" s="870"/>
      <c r="P8" s="1175"/>
      <c r="Q8" s="1175"/>
      <c r="R8" s="1175"/>
      <c r="S8" s="1175"/>
      <c r="T8" s="1175"/>
      <c r="U8" s="1175"/>
      <c r="V8" s="1175"/>
      <c r="W8" s="138"/>
    </row>
    <row r="9" spans="1:23" s="180" customFormat="1" ht="25.05" customHeight="1" x14ac:dyDescent="0.25">
      <c r="A9" s="169"/>
      <c r="B9" s="170"/>
      <c r="C9" s="171">
        <v>10</v>
      </c>
      <c r="D9" s="172" t="str">
        <f>IF(VLOOKUP(CONCATENATE($C$3,"-",C9),Languages!$A:$D,1,TRUE)=CONCATENATE($C$3,"-",C9),VLOOKUP(CONCATENATE($C$3,"-",C9),Languages!$A:$D,Summary!$C$7,TRUE),NA())</f>
        <v>Organisaatio</v>
      </c>
      <c r="E9" s="173"/>
      <c r="F9" s="173"/>
      <c r="G9" s="174"/>
      <c r="H9" s="173"/>
      <c r="I9" s="173" t="str">
        <f>IFERROR(INT(LEFT(#REF!,1)),"")</f>
        <v/>
      </c>
      <c r="J9" s="173"/>
      <c r="K9" s="175"/>
      <c r="L9" s="176"/>
      <c r="M9" s="177"/>
      <c r="N9" s="138"/>
      <c r="O9" s="871"/>
      <c r="P9" s="1175"/>
      <c r="Q9" s="1175"/>
      <c r="R9" s="1175"/>
      <c r="S9" s="1175"/>
      <c r="T9" s="1175"/>
      <c r="U9" s="1175"/>
      <c r="V9" s="1175"/>
      <c r="W9" s="138"/>
    </row>
    <row r="10" spans="1:23" s="187" customFormat="1" ht="10.050000000000001" customHeight="1" x14ac:dyDescent="0.25">
      <c r="A10" s="181"/>
      <c r="B10" s="182"/>
      <c r="C10" s="1164"/>
      <c r="D10" s="1164"/>
      <c r="E10" s="1164"/>
      <c r="F10" s="1164"/>
      <c r="G10" s="1164"/>
      <c r="H10" s="1164"/>
      <c r="I10" s="1164"/>
      <c r="J10" s="1164"/>
      <c r="K10" s="168"/>
      <c r="L10" s="183"/>
      <c r="M10" s="184"/>
      <c r="N10" s="138"/>
      <c r="O10" s="872"/>
      <c r="P10" s="1175"/>
      <c r="Q10" s="1175"/>
      <c r="R10" s="1175"/>
      <c r="S10" s="1175"/>
      <c r="T10" s="1175"/>
      <c r="U10" s="1175"/>
      <c r="V10" s="1175"/>
      <c r="W10" s="138"/>
    </row>
    <row r="11" spans="1:23" s="187" customFormat="1" ht="28.8" customHeight="1" x14ac:dyDescent="0.25">
      <c r="A11" s="181"/>
      <c r="B11" s="188">
        <v>11</v>
      </c>
      <c r="C11" s="189"/>
      <c r="D11" s="168" t="str">
        <f>IF(VLOOKUP(CONCATENATE($C$3,"-",B11),Languages!$A:$D,1,TRUE)=CONCATENATE($C$3,"-",B11),VLOOKUP(CONCATENATE($C$3,"-",B11),Languages!$A:$D,Summary!$C$7,TRUE),NA())</f>
        <v>Nimi</v>
      </c>
      <c r="E11" s="1188"/>
      <c r="F11" s="1188"/>
      <c r="G11" s="190"/>
      <c r="H11" s="168" t="str">
        <f>IF(VLOOKUP(CONCATENATE($C$3,"-",L11),Languages!$A:$D,1,TRUE)=CONCATENATE($C$3,"-",L11),VLOOKUP(CONCATENATE($C$3,"-",L11),Languages!$A:$D,Summary!$C$7,TRUE),NA())</f>
        <v>Yhteyshenkilön sähköposti</v>
      </c>
      <c r="I11" s="1188"/>
      <c r="J11" s="1188"/>
      <c r="K11" s="191"/>
      <c r="L11" s="192">
        <v>14</v>
      </c>
      <c r="M11" s="319"/>
      <c r="N11" s="138"/>
      <c r="O11" s="873"/>
      <c r="P11" s="1175"/>
      <c r="Q11" s="1175"/>
      <c r="R11" s="1175"/>
      <c r="S11" s="1175"/>
      <c r="T11" s="1175"/>
      <c r="U11" s="1175"/>
      <c r="V11" s="1175"/>
      <c r="W11" s="138"/>
    </row>
    <row r="12" spans="1:23" s="187" customFormat="1" ht="18" customHeight="1" x14ac:dyDescent="0.25">
      <c r="A12" s="181"/>
      <c r="B12" s="188">
        <v>12</v>
      </c>
      <c r="C12" s="189"/>
      <c r="D12" s="168" t="str">
        <f>IF(VLOOKUP(CONCATENATE($C$3,"-",B12),Languages!$A:$D,1,TRUE)=CONCATENATE($C$3,"-",B12),VLOOKUP(CONCATENATE($C$3,"-",B12),Languages!$A:$D,Summary!$C$7,TRUE),NA())</f>
        <v>Toimiala</v>
      </c>
      <c r="E12" s="1172"/>
      <c r="F12" s="1172"/>
      <c r="G12" s="193"/>
      <c r="H12" s="1149" t="str">
        <f>IF(VLOOKUP(CONCATENATE($C$3,"-",L12),Languages!$A:$D,1,TRUE)=CONCATENATE($C$3,"-",L12),VLOOKUP(CONCATENATE($C$3,"-",L12),Languages!$A:$D,Summary!$C$7,TRUE),NA())</f>
        <v>Y-tunnus</v>
      </c>
      <c r="I12" s="1172"/>
      <c r="J12" s="1172"/>
      <c r="K12" s="191"/>
      <c r="L12" s="192">
        <v>24</v>
      </c>
      <c r="M12" s="319"/>
      <c r="N12" s="138"/>
      <c r="O12" s="873"/>
      <c r="P12" s="1175"/>
      <c r="Q12" s="1175"/>
      <c r="R12" s="1175"/>
      <c r="S12" s="1175"/>
      <c r="T12" s="1175"/>
      <c r="U12" s="1175"/>
      <c r="V12" s="1175"/>
      <c r="W12" s="138"/>
    </row>
    <row r="13" spans="1:23" s="187" customFormat="1" ht="26.4" customHeight="1" x14ac:dyDescent="0.25">
      <c r="A13" s="181"/>
      <c r="B13" s="188">
        <v>13</v>
      </c>
      <c r="C13" s="189"/>
      <c r="D13" s="168" t="str">
        <f>IF(VLOOKUP(CONCATENATE($C$3,"-",B13),Languages!$A:$D,1,TRUE)=CONCATENATE($C$3,"-",B13),VLOOKUP(CONCATENATE($C$3,"-",B13),Languages!$A:$D,Summary!$C$7,TRUE),NA())</f>
        <v>Toiminto</v>
      </c>
      <c r="E13" s="1172"/>
      <c r="F13" s="1172"/>
      <c r="G13" s="193"/>
      <c r="H13" s="168" t="str">
        <f>IF(VLOOKUP(CONCATENATE($C$3,"-",L13),Languages!$A:$D,1,TRUE)=CONCATENATE($C$3,"-",L13),VLOOKUP(CONCATENATE($C$3,"-",L13),Languages!$A:$D,Summary!$C$7,TRUE),NA())</f>
        <v>Arvioinnin vetäjä</v>
      </c>
      <c r="I13" s="1172"/>
      <c r="J13" s="1172"/>
      <c r="K13" s="191"/>
      <c r="L13" s="192">
        <v>15</v>
      </c>
      <c r="M13" s="502"/>
      <c r="N13" s="138"/>
      <c r="O13" s="873"/>
      <c r="P13" s="1175"/>
      <c r="Q13" s="1175"/>
      <c r="R13" s="1175"/>
      <c r="S13" s="1175"/>
      <c r="T13" s="1175"/>
      <c r="U13" s="1175"/>
      <c r="V13" s="1175"/>
      <c r="W13" s="181"/>
    </row>
    <row r="14" spans="1:23" s="187" customFormat="1" ht="18" customHeight="1" x14ac:dyDescent="0.25">
      <c r="A14" s="181"/>
      <c r="B14" s="188">
        <v>18</v>
      </c>
      <c r="C14" s="189"/>
      <c r="D14" s="466" t="str">
        <f>IF(VLOOKUP(CONCATENATE($C$3,"-",B14),Languages!$A:$D,1,TRUE)=CONCATENATE($C$3,"-",B14),VLOOKUP(CONCATENATE($C$3,"-",B14),Languages!$A:$D,Summary!$C$7,TRUE),NA())</f>
        <v>Aloitus pvm.</v>
      </c>
      <c r="E14" s="1171"/>
      <c r="F14" s="1171"/>
      <c r="G14" s="193"/>
      <c r="H14" s="466"/>
      <c r="I14" s="1189"/>
      <c r="J14" s="1189"/>
      <c r="K14" s="191"/>
      <c r="L14" s="209"/>
      <c r="M14" s="502"/>
      <c r="N14" s="138"/>
      <c r="O14" s="873"/>
      <c r="P14" s="1175"/>
      <c r="Q14" s="1175"/>
      <c r="R14" s="1175"/>
      <c r="S14" s="1175"/>
      <c r="T14" s="1175"/>
      <c r="U14" s="1175"/>
      <c r="V14" s="1175"/>
      <c r="W14" s="181"/>
    </row>
    <row r="15" spans="1:23" s="187" customFormat="1" ht="24" customHeight="1" x14ac:dyDescent="0.25">
      <c r="A15" s="181"/>
      <c r="B15" s="188">
        <v>19</v>
      </c>
      <c r="C15" s="189"/>
      <c r="D15" s="466" t="str">
        <f>IF(VLOOKUP(CONCATENATE($C$3,"-",B15),Languages!$A:$D,1,TRUE)=CONCATENATE($C$3,"-",B15),VLOOKUP(CONCATENATE($C$3,"-",B15),Languages!$A:$D,Summary!$C$7,TRUE),NA())</f>
        <v>Viimeinen muutos</v>
      </c>
      <c r="E15" s="1171"/>
      <c r="F15" s="1171"/>
      <c r="G15" s="193"/>
      <c r="H15" s="466" t="str">
        <f>IF(VLOOKUP(CONCATENATE($C$3,"-",L15),Languages!$A:$D,1,TRUE)=CONCATENATE($C$3,"-",L15),VLOOKUP(CONCATENATE($C$3,"-",L15),Languages!$A:$D,Summary!$C$7,TRUE),NA())</f>
        <v>Seuraava arviointi</v>
      </c>
      <c r="I15" s="1198"/>
      <c r="J15" s="1198"/>
      <c r="K15" s="191"/>
      <c r="L15" s="209">
        <v>42</v>
      </c>
      <c r="M15" s="502"/>
      <c r="N15" s="138"/>
      <c r="O15" s="873"/>
      <c r="P15" s="1175"/>
      <c r="Q15" s="1175"/>
      <c r="R15" s="1175"/>
      <c r="S15" s="1175"/>
      <c r="T15" s="1175"/>
      <c r="U15" s="1175"/>
      <c r="V15" s="1175"/>
      <c r="W15" s="181"/>
    </row>
    <row r="16" spans="1:23" s="180" customFormat="1" ht="10.050000000000001" customHeight="1" x14ac:dyDescent="0.25">
      <c r="A16" s="169"/>
      <c r="B16" s="194"/>
      <c r="C16" s="195"/>
      <c r="D16" s="196"/>
      <c r="E16" s="196"/>
      <c r="F16" s="197"/>
      <c r="G16" s="193"/>
      <c r="H16" s="168"/>
      <c r="I16" s="196"/>
      <c r="J16" s="196"/>
      <c r="K16" s="196"/>
      <c r="L16" s="209">
        <v>42</v>
      </c>
      <c r="M16" s="502"/>
      <c r="N16" s="138"/>
      <c r="O16" s="858"/>
      <c r="P16" s="590"/>
      <c r="Q16" s="591"/>
      <c r="R16" s="591"/>
      <c r="S16" s="591"/>
      <c r="T16" s="591"/>
      <c r="U16" s="591"/>
      <c r="V16" s="591"/>
      <c r="W16" s="319"/>
    </row>
    <row r="17" spans="1:23" s="206" customFormat="1" ht="19.95" customHeight="1" x14ac:dyDescent="0.25">
      <c r="A17" s="184"/>
      <c r="B17" s="198">
        <v>16</v>
      </c>
      <c r="C17" s="189"/>
      <c r="D17" s="199" t="str">
        <f>IF(VLOOKUP(CONCATENATE($C$3,"-",B17),Languages!$A:$D,1,TRUE)=CONCATENATE($C$3,"-",B17),VLOOKUP(CONCATENATE($C$3,"-",B17),Languages!$A:$D,Summary!$C$7,TRUE),NA())</f>
        <v>Kuvaus arvioitavasta toiminnosta</v>
      </c>
      <c r="E17" s="200"/>
      <c r="F17" s="200"/>
      <c r="G17" s="201"/>
      <c r="H17" s="200"/>
      <c r="I17" s="202"/>
      <c r="J17" s="202"/>
      <c r="K17" s="202"/>
      <c r="L17" s="209">
        <v>42</v>
      </c>
      <c r="M17" s="502"/>
      <c r="N17" s="138"/>
      <c r="O17" s="859"/>
      <c r="P17" s="863" t="str">
        <f>IF(VLOOKUP("KM100",Languages!$A:$D,1,TRUE)="KM100",VLOOKUP("KM100",Languages!$A:$D,Summary!$C$7,TRUE),NA())</f>
        <v>Toiminto</v>
      </c>
      <c r="Q17" s="863" t="str">
        <f>IF(VLOOKUP("KM101",Languages!$A:$D,1,TRUE)="KM101",VLOOKUP("KM101",Languages!$A:$D,Summary!$C$7,TRUE),NA())</f>
        <v>Prosessit</v>
      </c>
      <c r="R17" s="863" t="str">
        <f>IF(VLOOKUP("KM102",Languages!$A:$D,1,TRUE)="KM102",VLOOKUP("KM102",Languages!$A:$D,Summary!$C$7,TRUE),NA())</f>
        <v>Järjestelmät</v>
      </c>
      <c r="S17" s="863" t="str">
        <f>IF(VLOOKUP("KM103",Languages!$A:$D,1,TRUE)="KM103",VLOOKUP("KM103",Languages!$A:$D,Summary!$C$7,TRUE),NA())</f>
        <v>Vaikutus muihin organisaatioihin</v>
      </c>
      <c r="T17" s="863" t="str">
        <f>IF(VLOOKUP("KM104",Languages!$A:$D,1,TRUE)="KM104",VLOOKUP("KM104",Languages!$A:$D,Summary!$C$7,TRUE),NA())</f>
        <v>Toimittajat</v>
      </c>
      <c r="U17" s="863" t="str">
        <f>IF(VLOOKUP("KM105",Languages!$A:$D,1,TRUE)="KM105",VLOOKUP("KM105",Languages!$A:$D,Summary!$C$7,TRUE),NA())</f>
        <v>Sisäiset riippuvuudet</v>
      </c>
      <c r="V17" s="864"/>
      <c r="W17" s="502"/>
    </row>
    <row r="18" spans="1:23" s="206" customFormat="1" ht="30" customHeight="1" x14ac:dyDescent="0.25">
      <c r="A18" s="184"/>
      <c r="B18" s="207"/>
      <c r="C18" s="189"/>
      <c r="D18" s="1179"/>
      <c r="E18" s="1180"/>
      <c r="F18" s="1180"/>
      <c r="G18" s="1180"/>
      <c r="H18" s="1180"/>
      <c r="I18" s="1180"/>
      <c r="J18" s="1181"/>
      <c r="K18" s="499"/>
      <c r="L18" s="209">
        <v>42</v>
      </c>
      <c r="M18" s="502"/>
      <c r="N18" s="138"/>
      <c r="O18" s="860"/>
      <c r="P18" s="878"/>
      <c r="Q18" s="879"/>
      <c r="R18" s="879"/>
      <c r="S18" s="879"/>
      <c r="T18" s="879"/>
      <c r="U18" s="879"/>
      <c r="V18" s="865"/>
      <c r="W18" s="502"/>
    </row>
    <row r="19" spans="1:23" s="206" customFormat="1" ht="30" customHeight="1" x14ac:dyDescent="0.25">
      <c r="A19" s="184"/>
      <c r="B19" s="207"/>
      <c r="C19" s="189"/>
      <c r="D19" s="1182"/>
      <c r="E19" s="1183"/>
      <c r="F19" s="1183"/>
      <c r="G19" s="1183"/>
      <c r="H19" s="1183"/>
      <c r="I19" s="1183"/>
      <c r="J19" s="1184"/>
      <c r="K19" s="500"/>
      <c r="L19" s="209">
        <v>42</v>
      </c>
      <c r="M19" s="502"/>
      <c r="N19" s="138"/>
      <c r="O19" s="860"/>
      <c r="P19" s="878"/>
      <c r="Q19" s="879"/>
      <c r="R19" s="879"/>
      <c r="S19" s="879"/>
      <c r="T19" s="879"/>
      <c r="U19" s="879"/>
      <c r="V19" s="865"/>
      <c r="W19" s="502"/>
    </row>
    <row r="20" spans="1:23" s="206" customFormat="1" ht="30" customHeight="1" x14ac:dyDescent="0.25">
      <c r="A20" s="184"/>
      <c r="B20" s="207"/>
      <c r="C20" s="189"/>
      <c r="D20" s="1185"/>
      <c r="E20" s="1186"/>
      <c r="F20" s="1186"/>
      <c r="G20" s="1186"/>
      <c r="H20" s="1186"/>
      <c r="I20" s="1186"/>
      <c r="J20" s="1187"/>
      <c r="K20" s="500"/>
      <c r="L20" s="209">
        <v>42</v>
      </c>
      <c r="M20" s="502"/>
      <c r="N20" s="138"/>
      <c r="O20" s="860"/>
      <c r="P20" s="880"/>
      <c r="Q20" s="880"/>
      <c r="R20" s="880"/>
      <c r="S20" s="879"/>
      <c r="T20" s="879"/>
      <c r="U20" s="879"/>
      <c r="V20" s="865"/>
      <c r="W20" s="502"/>
    </row>
    <row r="21" spans="1:23" s="206" customFormat="1" ht="30" customHeight="1" x14ac:dyDescent="0.25">
      <c r="A21" s="184"/>
      <c r="B21" s="198">
        <v>17</v>
      </c>
      <c r="C21" s="213"/>
      <c r="D21" s="175" t="str">
        <f>IF(VLOOKUP(CONCATENATE($C$3,"-",B21),Languages!$A:$D,1,TRUE)=CONCATENATE($C$3,"-",B21),VLOOKUP(CONCATENATE($C$3,"-",B21),Languages!$A:$D,Summary!$C$7,TRUE),NA())</f>
        <v>Toiminnon yhteiskunnallinen vaikuttavuus</v>
      </c>
      <c r="E21" s="175"/>
      <c r="F21" s="210"/>
      <c r="G21" s="202"/>
      <c r="H21" s="211"/>
      <c r="I21" s="211"/>
      <c r="J21" s="211"/>
      <c r="K21" s="500"/>
      <c r="L21" s="209">
        <v>42</v>
      </c>
      <c r="M21" s="502"/>
      <c r="N21" s="138"/>
      <c r="O21" s="860"/>
      <c r="P21" s="880"/>
      <c r="Q21" s="880"/>
      <c r="R21" s="880"/>
      <c r="S21" s="879"/>
      <c r="T21" s="879"/>
      <c r="U21" s="879"/>
      <c r="V21" s="865"/>
      <c r="W21" s="502"/>
    </row>
    <row r="22" spans="1:23" s="206" customFormat="1" ht="30" customHeight="1" x14ac:dyDescent="0.25">
      <c r="A22" s="184"/>
      <c r="B22" s="207">
        <v>39</v>
      </c>
      <c r="C22" s="189"/>
      <c r="D22" s="1191" t="str">
        <f>IF(VLOOKUP(CONCATENATE($C$3,"-",B22),Languages!$A:$D,1,TRUE)=CONCATENATE($C$3,"-",B22),VLOOKUP(CONCATENATE($C$3,"-",B22),Languages!$A:$D,Summary!$C$7,TRUE),NA())</f>
        <v>Uhkaskenaarion kuvaus (worst-case)</v>
      </c>
      <c r="E22" s="1191"/>
      <c r="F22" s="1191"/>
      <c r="H22" s="783">
        <v>40</v>
      </c>
      <c r="I22" s="1190" t="str">
        <f>IF(VLOOKUP(CONCATENATE($C$3,"-",H22),Languages!$A:$D,1,TRUE)=CONCATENATE($C$3,"-",H22),VLOOKUP(CONCATENATE($C$3,"-",H22),Languages!$A:$D,Summary!$C$7,TRUE),NA())</f>
        <v>Skenaarion yhteiskunnallinen vaikuttavuus</v>
      </c>
      <c r="J22" s="1190"/>
      <c r="K22" s="500"/>
      <c r="L22" s="209">
        <v>42</v>
      </c>
      <c r="M22" s="502"/>
      <c r="N22" s="138"/>
      <c r="O22" s="860"/>
      <c r="P22" s="880"/>
      <c r="Q22" s="880"/>
      <c r="R22" s="880"/>
      <c r="S22" s="879"/>
      <c r="T22" s="879"/>
      <c r="U22" s="879"/>
      <c r="V22" s="865"/>
      <c r="W22" s="502"/>
    </row>
    <row r="23" spans="1:23" s="206" customFormat="1" ht="30" customHeight="1" x14ac:dyDescent="0.25">
      <c r="A23" s="184"/>
      <c r="B23" s="207"/>
      <c r="D23" s="1192"/>
      <c r="E23" s="1193"/>
      <c r="F23" s="1193"/>
      <c r="G23" s="1194"/>
      <c r="H23" s="211"/>
      <c r="I23" s="1173" t="s">
        <v>542</v>
      </c>
      <c r="J23" s="1174"/>
      <c r="K23" s="500"/>
      <c r="L23" s="209">
        <v>42</v>
      </c>
      <c r="M23" s="502"/>
      <c r="N23" s="138"/>
      <c r="O23" s="860"/>
      <c r="P23" s="880"/>
      <c r="Q23" s="880"/>
      <c r="R23" s="880"/>
      <c r="S23" s="879"/>
      <c r="T23" s="879"/>
      <c r="U23" s="879"/>
      <c r="V23" s="865"/>
      <c r="W23" s="502"/>
    </row>
    <row r="24" spans="1:23" s="206" customFormat="1" ht="30" customHeight="1" x14ac:dyDescent="0.25">
      <c r="A24" s="184"/>
      <c r="B24" s="207"/>
      <c r="D24" s="1195"/>
      <c r="E24" s="1196"/>
      <c r="F24" s="1196"/>
      <c r="G24" s="1197"/>
      <c r="K24" s="500"/>
      <c r="L24" s="209">
        <v>42</v>
      </c>
      <c r="M24" s="502"/>
      <c r="N24" s="138"/>
      <c r="O24" s="861"/>
      <c r="P24" s="498"/>
      <c r="Q24" s="498"/>
      <c r="R24" s="498"/>
      <c r="S24" s="589"/>
      <c r="T24" s="589"/>
      <c r="U24" s="589"/>
      <c r="V24" s="865"/>
      <c r="W24" s="502"/>
    </row>
    <row r="25" spans="1:23" s="206" customFormat="1" ht="13.05" customHeight="1" x14ac:dyDescent="0.25">
      <c r="A25" s="184"/>
      <c r="B25" s="207"/>
      <c r="D25" s="327"/>
      <c r="E25" s="327"/>
      <c r="F25" s="327"/>
      <c r="G25" s="327"/>
      <c r="K25" s="500"/>
      <c r="L25" s="209">
        <v>42</v>
      </c>
      <c r="M25" s="502"/>
      <c r="N25" s="138"/>
      <c r="O25" s="861"/>
      <c r="P25" s="498"/>
      <c r="Q25" s="498"/>
      <c r="R25" s="498"/>
      <c r="S25" s="589"/>
      <c r="T25" s="589"/>
      <c r="U25" s="589"/>
      <c r="V25" s="865"/>
      <c r="W25" s="502"/>
    </row>
    <row r="26" spans="1:23" s="206" customFormat="1" ht="19.95" customHeight="1" x14ac:dyDescent="0.25">
      <c r="A26" s="184"/>
      <c r="B26" s="170"/>
      <c r="C26" s="171">
        <v>20</v>
      </c>
      <c r="D26" s="172" t="str">
        <f>IF(VLOOKUP(CONCATENATE($C$3,"-",C26),Languages!$A:$D,1,TRUE)=CONCATENATE($C$3,"-",C26),VLOOKUP(CONCATENATE($C$3,"-",C26),Languages!$A:$D,Summary!$C$7,TRUE),NA())</f>
        <v>Kyberturvallisuuden arviointi</v>
      </c>
      <c r="E26" s="173"/>
      <c r="F26" s="173"/>
      <c r="G26" s="174"/>
      <c r="H26" s="173"/>
      <c r="I26" s="173" t="str">
        <f>IFERROR(INT(LEFT(#REF!,1)),"")</f>
        <v/>
      </c>
      <c r="J26" s="173"/>
      <c r="K26" s="175"/>
      <c r="L26" s="209">
        <v>42</v>
      </c>
      <c r="M26" s="502"/>
      <c r="N26" s="138"/>
      <c r="O26" s="862"/>
      <c r="P26" s="866"/>
      <c r="Q26" s="867"/>
      <c r="R26" s="867"/>
      <c r="S26" s="867"/>
      <c r="T26" s="867"/>
      <c r="U26" s="867"/>
      <c r="V26" s="868"/>
      <c r="W26" s="502"/>
    </row>
    <row r="27" spans="1:23" s="187" customFormat="1" ht="10.050000000000001" customHeight="1" x14ac:dyDescent="0.25">
      <c r="A27" s="181"/>
      <c r="B27" s="182"/>
      <c r="C27" s="1164"/>
      <c r="D27" s="1164"/>
      <c r="E27" s="1164"/>
      <c r="F27" s="1164"/>
      <c r="G27" s="1164"/>
      <c r="H27" s="1164"/>
      <c r="I27" s="1164"/>
      <c r="J27" s="1164"/>
      <c r="K27" s="466"/>
      <c r="L27" s="209">
        <v>42</v>
      </c>
      <c r="M27" s="502"/>
      <c r="N27" s="138"/>
      <c r="O27" s="516"/>
      <c r="P27" s="501"/>
      <c r="Q27" s="501"/>
      <c r="R27" s="501"/>
      <c r="S27" s="501"/>
      <c r="T27" s="501"/>
      <c r="U27" s="501"/>
      <c r="V27" s="501"/>
      <c r="W27" s="319"/>
    </row>
    <row r="28" spans="1:23" s="180" customFormat="1" ht="19.95" customHeight="1" x14ac:dyDescent="0.25">
      <c r="A28" s="169"/>
      <c r="B28" s="212">
        <v>21</v>
      </c>
      <c r="C28" s="213"/>
      <c r="D28" s="175" t="str">
        <f>IF(VLOOKUP(CONCATENATE($C$3,"-",B28),Languages!$A:$D,1,TRUE)=CONCATENATE($C$3,"-",B28),VLOOKUP(CONCATENATE($C$3,"-",B28),Languages!$A:$D,Summary!$C$7,TRUE),NA())</f>
        <v>Kyberturvallisuuden osiot</v>
      </c>
      <c r="E28" s="214"/>
      <c r="F28" s="215"/>
      <c r="G28" s="216"/>
      <c r="H28" s="217"/>
      <c r="I28" s="218"/>
      <c r="J28" s="218"/>
      <c r="K28" s="218"/>
      <c r="L28" s="219"/>
      <c r="M28" s="177"/>
      <c r="N28" s="204"/>
      <c r="O28" s="204"/>
      <c r="P28" s="178"/>
      <c r="Q28" s="179"/>
      <c r="R28" s="179"/>
      <c r="S28" s="179"/>
      <c r="T28" s="179"/>
      <c r="U28" s="179"/>
      <c r="V28" s="179"/>
    </row>
    <row r="29" spans="1:23" s="206" customFormat="1" ht="22.05" customHeight="1" x14ac:dyDescent="0.25">
      <c r="A29" s="181"/>
      <c r="B29" s="212" t="s">
        <v>57</v>
      </c>
      <c r="C29" s="222">
        <f t="shared" ref="C29:C34" ca="1" si="0">RIGHT(F29,2) - LEFT(F29,2)</f>
        <v>27</v>
      </c>
      <c r="D29" s="1176" t="str">
        <f>HYPERLINK("#'" &amp; $B29 &amp; "'!B2",IF(VLOOKUP($B29,Languages!$A:$D,1,TRUE)=$B29,VLOOKUP($B29,Languages!$A:$D,Summary!$C$7,TRUE),NA()))</f>
        <v>Kriittisten palveluiden suojaaminen (CRITICAL)</v>
      </c>
      <c r="E29" s="1176"/>
      <c r="F29" s="1167" t="str">
        <f ca="1">COUNTIF(Data!$A:$A,$B29) - COUNTIF(INDIRECT("'"&amp;$B29&amp;"'!"&amp;"$F:$F"),0) &amp; " / " &amp; COUNTIF(Data!$A:$A,$B29)</f>
        <v>0 / 27</v>
      </c>
      <c r="G29" s="1167"/>
      <c r="H29" s="1199"/>
      <c r="I29" s="1199"/>
      <c r="J29" s="441"/>
      <c r="K29" s="468"/>
      <c r="L29" s="223"/>
      <c r="M29" s="184"/>
      <c r="N29" s="204"/>
      <c r="O29" s="204"/>
      <c r="P29" s="204"/>
      <c r="Q29" s="205"/>
      <c r="R29" s="205"/>
      <c r="S29" s="205"/>
      <c r="T29" s="205"/>
      <c r="U29" s="205"/>
      <c r="V29" s="205"/>
    </row>
    <row r="30" spans="1:23" s="206" customFormat="1" ht="22.05" customHeight="1" x14ac:dyDescent="0.25">
      <c r="A30" s="184"/>
      <c r="B30" s="212" t="s">
        <v>48</v>
      </c>
      <c r="C30" s="222">
        <f ca="1">RIGHT(F30,2) - LEFT(F30,2)</f>
        <v>36</v>
      </c>
      <c r="D30" s="1169" t="str">
        <f>HYPERLINK("#'" &amp; $B30 &amp; "'!B2",IF(VLOOKUP($B30,Languages!$A:$D,1,TRUE)=$B30,VLOOKUP($B30,Languages!$A:$D,Summary!$C$7,TRUE),NA()))</f>
        <v>Omaisuuden, muutosten ja konfiguraation hallinta (ASSET)</v>
      </c>
      <c r="E30" s="1169"/>
      <c r="F30" s="1167" t="str">
        <f ca="1">COUNTIF(Data!$A:$A,$B30) - COUNTIF(INDIRECT("'"&amp;$B30&amp;"'!"&amp;"$F:$F"),0) &amp; " / " &amp; COUNTIF(Data!$A:$A,$B30)</f>
        <v>0 / 36</v>
      </c>
      <c r="G30" s="1167"/>
      <c r="H30" s="1169" t="str">
        <f>HYPERLINK("#'" &amp; $L30 &amp; "'!B2",IF(VLOOKUP($L30,Languages!$A:$D,1,TRUE)=$L30,VLOOKUP($L30,Languages!$A:$D,Summary!$C$7,TRUE),NA()))</f>
        <v>Tapahtumien ja häiriöiden hallinta, toiminnan jatkuvuus (RESPONSE)</v>
      </c>
      <c r="I30" s="1169"/>
      <c r="J30" s="1167" t="str">
        <f ca="1">COUNTIF(Data!$A:$A,$L30) - COUNTIF(INDIRECT("'"&amp;$L30&amp;"'!"&amp;"$F:$F"),0) &amp; " / " &amp; COUNTIF(Data!$A:$A,$L30)</f>
        <v>0 / 49</v>
      </c>
      <c r="K30" s="1167"/>
      <c r="L30" s="224" t="s">
        <v>71</v>
      </c>
      <c r="M30" s="184"/>
      <c r="N30" s="204"/>
      <c r="O30" s="204"/>
      <c r="P30" s="204"/>
      <c r="Q30" s="205"/>
      <c r="R30" s="205"/>
      <c r="S30" s="205"/>
      <c r="T30" s="205"/>
      <c r="U30" s="205"/>
      <c r="V30" s="205"/>
    </row>
    <row r="31" spans="1:23" s="206" customFormat="1" ht="22.05" customHeight="1" x14ac:dyDescent="0.25">
      <c r="A31" s="184"/>
      <c r="B31" s="212" t="s">
        <v>66</v>
      </c>
      <c r="C31" s="222">
        <f t="shared" ca="1" si="0"/>
        <v>29</v>
      </c>
      <c r="D31" s="1169" t="str">
        <f>HYPERLINK("#'" &amp; $B31 &amp; "'!B2",IF(VLOOKUP($B31,Languages!$A:$D,1,TRUE)=$B31,VLOOKUP($B31,Languages!$A:$D,Summary!$C$7,TRUE),NA()))</f>
        <v>Uhkien ja haavoittuvuuksien hallinta (THREAT)</v>
      </c>
      <c r="E31" s="1169"/>
      <c r="F31" s="1167" t="str">
        <f ca="1">COUNTIF(Data!$A:$A,$B31) - COUNTIF(INDIRECT("'"&amp;$B31&amp;"'!"&amp;"$F:$F"),0) &amp; " / " &amp; COUNTIF(Data!$A:$A,$B31)</f>
        <v>0 / 29</v>
      </c>
      <c r="G31" s="1167"/>
      <c r="H31" s="1169" t="str">
        <f>HYPERLINK("#'" &amp; $L31 &amp; "'!B2",IF(VLOOKUP($L31,Languages!$A:$D,1,TRUE)=$L31,VLOOKUP($L31,Languages!$A:$D,Summary!$C$7,TRUE),NA()))</f>
        <v>Kumppaniverkoston riskien hallinta (THIRDPARTY)</v>
      </c>
      <c r="I31" s="1169"/>
      <c r="J31" s="1167" t="str">
        <f ca="1">COUNTIF(Data!$A:$A,$L31) - COUNTIF(INDIRECT("'"&amp;$L31&amp;"'!"&amp;"$F:$F"),0) &amp; " / " &amp; COUNTIF(Data!$A:$A,$L31)</f>
        <v>0 / 22</v>
      </c>
      <c r="K31" s="1167"/>
      <c r="L31" s="224" t="s">
        <v>1145</v>
      </c>
      <c r="M31" s="184"/>
      <c r="N31" s="204"/>
      <c r="O31" s="204"/>
      <c r="P31" s="204"/>
      <c r="Q31" s="205"/>
      <c r="R31" s="205"/>
      <c r="S31" s="205"/>
      <c r="T31" s="205"/>
      <c r="U31" s="205"/>
      <c r="V31" s="205"/>
    </row>
    <row r="32" spans="1:23" s="206" customFormat="1" ht="22.05" customHeight="1" x14ac:dyDescent="0.25">
      <c r="A32" s="184"/>
      <c r="B32" s="212" t="s">
        <v>0</v>
      </c>
      <c r="C32" s="222">
        <f t="shared" ca="1" si="0"/>
        <v>37</v>
      </c>
      <c r="D32" s="1169" t="str">
        <f>HYPERLINK("#'" &amp; $B32 &amp; "'!B2",IF(VLOOKUP($B32,Languages!$A:$D,1,TRUE)=$B32,VLOOKUP($B32,Languages!$A:$D,Summary!$C$7,TRUE),NA()))</f>
        <v>Riskienhallinta (RISK)</v>
      </c>
      <c r="E32" s="1169"/>
      <c r="F32" s="1167" t="str">
        <f ca="1">COUNTIF(Data!$A:$A,$B32) - COUNTIF(INDIRECT("'"&amp;$B32&amp;"'!"&amp;"$F:$F"),0) &amp; " / " &amp; COUNTIF(Data!$A:$A,$B32)</f>
        <v>0 / 37</v>
      </c>
      <c r="G32" s="1167"/>
      <c r="H32" s="1169" t="str">
        <f>HYPERLINK("#'" &amp; $L32 &amp; "'!B2",IF(VLOOKUP($L32,Languages!$A:$D,1,TRUE)=$L32,VLOOKUP($L32,Languages!$A:$D,Summary!$C$7,TRUE),NA()))</f>
        <v>Henkilöstön johtaminen ja kehittäminen (WORKFORCE)</v>
      </c>
      <c r="I32" s="1169"/>
      <c r="J32" s="1167" t="str">
        <f ca="1">COUNTIF(Data!$A:$A,$L32) - COUNTIF(INDIRECT("'"&amp;$L32&amp;"'!"&amp;"$F:$F"),0) &amp; " / " &amp; COUNTIF(Data!$A:$A,$L32)</f>
        <v>0 / 30</v>
      </c>
      <c r="K32" s="1167"/>
      <c r="L32" s="224" t="s">
        <v>77</v>
      </c>
      <c r="M32" s="184"/>
      <c r="N32" s="204"/>
      <c r="O32" s="204"/>
      <c r="P32" s="204"/>
      <c r="Q32" s="205"/>
      <c r="R32" s="205"/>
      <c r="S32" s="205"/>
      <c r="T32" s="205"/>
      <c r="U32" s="205"/>
      <c r="V32" s="205"/>
    </row>
    <row r="33" spans="1:22" s="206" customFormat="1" ht="22.05" customHeight="1" x14ac:dyDescent="0.25">
      <c r="A33" s="184"/>
      <c r="B33" s="212" t="s">
        <v>61</v>
      </c>
      <c r="C33" s="222">
        <f t="shared" ca="1" si="0"/>
        <v>30</v>
      </c>
      <c r="D33" s="1169" t="str">
        <f>HYPERLINK("#'" &amp; $B33 &amp; "'!B2",IF(VLOOKUP($B33,Languages!$A:$D,1,TRUE)=$B33,VLOOKUP($B33,Languages!$A:$D,Summary!$C$7,TRUE),NA()))</f>
        <v>Identiteetin- ja pääsynhallinta (ACCESS)</v>
      </c>
      <c r="E33" s="1169"/>
      <c r="F33" s="1167" t="str">
        <f ca="1">COUNTIF(Data!$A:$A,$B33) - COUNTIF(INDIRECT("'"&amp;$B33&amp;"'!"&amp;"$F:$F"),0) &amp; " / " &amp; COUNTIF(Data!$A:$A,$B33)</f>
        <v>0 / 30</v>
      </c>
      <c r="G33" s="1167"/>
      <c r="H33" s="1169" t="str">
        <f>HYPERLINK("#'" &amp; $L33 &amp; "'!B2",IF(VLOOKUP($L33,Languages!$A:$D,1,TRUE)=$L33,VLOOKUP($L33,Languages!$A:$D,Summary!$C$7,TRUE),NA()))</f>
        <v>Kyberturvallisuusarkkitehtuuri (ARCHITECTURE)</v>
      </c>
      <c r="I33" s="1169"/>
      <c r="J33" s="1167" t="str">
        <f ca="1">COUNTIF(Data!$A:$A,$L33) - COUNTIF(INDIRECT("'"&amp;$L33&amp;"'!"&amp;"$F:$F"),0) &amp; " / " &amp; COUNTIF(Data!$A:$A,$L33)</f>
        <v>0 / 54</v>
      </c>
      <c r="K33" s="1167"/>
      <c r="L33" s="224" t="s">
        <v>80</v>
      </c>
      <c r="M33" s="184"/>
      <c r="N33" s="204"/>
      <c r="O33" s="204"/>
      <c r="P33" s="204"/>
      <c r="Q33" s="205"/>
      <c r="R33" s="205"/>
      <c r="S33" s="205"/>
      <c r="T33" s="205"/>
      <c r="U33" s="205"/>
      <c r="V33" s="205"/>
    </row>
    <row r="34" spans="1:22" s="206" customFormat="1" ht="22.05" customHeight="1" x14ac:dyDescent="0.25">
      <c r="A34" s="184"/>
      <c r="B34" s="212" t="s">
        <v>69</v>
      </c>
      <c r="C34" s="222">
        <f t="shared" ca="1" si="0"/>
        <v>29</v>
      </c>
      <c r="D34" s="1169" t="str">
        <f>HYPERLINK("#'" &amp; $B34 &amp; "'!B2",IF(VLOOKUP($B34,Languages!$A:$D,1,TRUE)=$B34,VLOOKUP($B34,Languages!$A:$D,Summary!$C$7,TRUE),NA()))</f>
        <v>Tilannekuva (SITUATION)</v>
      </c>
      <c r="E34" s="1169"/>
      <c r="F34" s="1167" t="str">
        <f ca="1">COUNTIF(Data!$A:$A,$B34) - COUNTIF(INDIRECT("'"&amp;$B34&amp;"'!"&amp;"$F:$F"),0) &amp; " / " &amp; COUNTIF(Data!$A:$A,$B34)</f>
        <v>0 / 29</v>
      </c>
      <c r="G34" s="1167"/>
      <c r="H34" s="1169" t="str">
        <f>HYPERLINK("#'" &amp; $L34 &amp; "'!B2",IF(VLOOKUP($L34,Languages!$A:$D,1,TRUE)=$L34,VLOOKUP($L34,Languages!$A:$D,Summary!$C$7,TRUE),NA()))</f>
        <v>Kyberturvallisuuden hallinta (PROGRAM)</v>
      </c>
      <c r="I34" s="1169"/>
      <c r="J34" s="1167" t="str">
        <f ca="1">COUNTIF(Data!$A:$A,$L34) - COUNTIF(INDIRECT("'"&amp;$L34&amp;"'!"&amp;"$F:$F"),0) &amp; " / " &amp; COUNTIF(Data!$A:$A,$L34)</f>
        <v>0 / 26</v>
      </c>
      <c r="K34" s="1167"/>
      <c r="L34" s="224" t="s">
        <v>82</v>
      </c>
      <c r="M34" s="184"/>
      <c r="N34" s="204"/>
      <c r="O34" s="204"/>
      <c r="P34" s="204"/>
      <c r="Q34" s="205"/>
      <c r="R34" s="205"/>
      <c r="S34" s="205"/>
      <c r="T34" s="205"/>
      <c r="U34" s="205"/>
      <c r="V34" s="205"/>
    </row>
    <row r="35" spans="1:22" s="180" customFormat="1" ht="19.95" customHeight="1" x14ac:dyDescent="0.25">
      <c r="A35" s="177"/>
      <c r="B35" s="212">
        <v>22</v>
      </c>
      <c r="C35" s="213"/>
      <c r="D35" s="175" t="str">
        <f>IF(VLOOKUP(CONCATENATE($C$3,"-",B35),Languages!$A:$D,1,TRUE)=CONCATENATE($C$3,"-",B35),VLOOKUP(CONCATENATE($C$3,"-",B35),Languages!$A:$D,Summary!$C$7,TRUE),NA())</f>
        <v>Kyberturvallisuuden investointien taso</v>
      </c>
      <c r="E35" s="225"/>
      <c r="G35" s="226"/>
      <c r="H35" s="214"/>
      <c r="I35" s="227"/>
      <c r="J35" s="228"/>
      <c r="K35" s="228"/>
      <c r="L35" s="229"/>
      <c r="M35" s="177"/>
      <c r="N35" s="204"/>
      <c r="O35" s="204"/>
      <c r="P35" s="178"/>
      <c r="Q35" s="179"/>
      <c r="R35" s="179"/>
      <c r="S35" s="179"/>
      <c r="T35" s="179"/>
      <c r="U35" s="179"/>
      <c r="V35" s="179"/>
    </row>
    <row r="36" spans="1:22" s="180" customFormat="1" ht="10.050000000000001" customHeight="1" x14ac:dyDescent="0.25">
      <c r="A36" s="177"/>
      <c r="B36" s="212"/>
      <c r="C36" s="213"/>
      <c r="D36" s="214"/>
      <c r="E36" s="230"/>
      <c r="F36" s="231"/>
      <c r="G36" s="226"/>
      <c r="H36" s="214"/>
      <c r="I36" s="227"/>
      <c r="J36" s="228"/>
      <c r="K36" s="228"/>
      <c r="L36" s="232"/>
      <c r="M36" s="177"/>
      <c r="N36" s="204"/>
      <c r="O36" s="204"/>
      <c r="P36" s="178"/>
      <c r="Q36" s="179"/>
      <c r="R36" s="179"/>
      <c r="S36" s="179"/>
      <c r="T36" s="179"/>
      <c r="U36" s="179"/>
      <c r="V36" s="179"/>
    </row>
    <row r="37" spans="1:22" s="187" customFormat="1" ht="19.95" customHeight="1" x14ac:dyDescent="0.25">
      <c r="A37" s="233"/>
      <c r="B37" s="212">
        <v>23</v>
      </c>
      <c r="D37" s="1176" t="str">
        <f>HYPERLINK("#'" &amp; "Investment" &amp; "'!B2",IF(VLOOKUP(CONCATENATE($C$3,"-",B37),Languages!$A:$D,1,TRUE)=CONCATENATE($C$3,"-",B37),VLOOKUP(CONCATENATE($C$3,"-",B37),Languages!$A:$D,Summary!$C$7,TRUE),NA()))</f>
        <v>Kyberturvallisuuden investointien taso (Investment)</v>
      </c>
      <c r="E37" s="1176"/>
      <c r="F37" s="1176"/>
      <c r="G37" s="234"/>
      <c r="H37" s="235"/>
      <c r="I37" s="236"/>
      <c r="J37" s="469"/>
      <c r="K37" s="469"/>
      <c r="L37" s="237"/>
      <c r="M37" s="233"/>
      <c r="N37" s="204"/>
      <c r="O37" s="204"/>
      <c r="P37" s="185"/>
      <c r="Q37" s="186"/>
      <c r="R37" s="186"/>
      <c r="S37" s="186"/>
      <c r="T37" s="186"/>
      <c r="U37" s="186"/>
      <c r="V37" s="186"/>
    </row>
    <row r="38" spans="1:22" s="187" customFormat="1" ht="10.050000000000001" customHeight="1" x14ac:dyDescent="0.25">
      <c r="A38" s="233"/>
      <c r="B38" s="212"/>
      <c r="D38" s="467"/>
      <c r="E38" s="467"/>
      <c r="F38" s="467"/>
      <c r="G38" s="234"/>
      <c r="H38" s="235"/>
      <c r="I38" s="236"/>
      <c r="J38" s="469"/>
      <c r="K38" s="469"/>
      <c r="L38" s="237"/>
      <c r="M38" s="233"/>
      <c r="N38" s="204"/>
      <c r="O38" s="204"/>
      <c r="P38" s="185"/>
      <c r="Q38" s="186"/>
      <c r="R38" s="186"/>
      <c r="S38" s="186"/>
      <c r="T38" s="186"/>
      <c r="U38" s="186"/>
      <c r="V38" s="186"/>
    </row>
    <row r="39" spans="1:22" s="180" customFormat="1" ht="25.05" customHeight="1" x14ac:dyDescent="0.25">
      <c r="A39" s="169"/>
      <c r="B39" s="212"/>
      <c r="C39" s="171">
        <v>30</v>
      </c>
      <c r="D39" s="172" t="str">
        <f>IF(VLOOKUP(CONCATENATE($C$3,"-",C39),Languages!$A:$D,1,TRUE)=CONCATENATE($C$3,"-",C39),VLOOKUP(CONCATENATE($C$3,"-",C39),Languages!$A:$D,Summary!$C$7,TRUE),NA())</f>
        <v>Tulokset ja vertailutiedot</v>
      </c>
      <c r="E39" s="173"/>
      <c r="F39" s="173"/>
      <c r="G39" s="174"/>
      <c r="H39" s="173"/>
      <c r="I39" s="173" t="str">
        <f>IFERROR(INT(LEFT(#REF!,1)),"")</f>
        <v/>
      </c>
      <c r="J39" s="173"/>
      <c r="K39" s="175"/>
      <c r="L39" s="176"/>
      <c r="M39" s="177"/>
      <c r="N39" s="204"/>
      <c r="O39" s="204"/>
      <c r="P39" s="204"/>
      <c r="Q39" s="179"/>
      <c r="R39" s="179"/>
      <c r="S39" s="179"/>
      <c r="T39" s="179"/>
      <c r="U39" s="179"/>
      <c r="V39" s="179"/>
    </row>
    <row r="40" spans="1:22" s="187" customFormat="1" ht="10.050000000000001" customHeight="1" x14ac:dyDescent="0.25">
      <c r="A40" s="181"/>
      <c r="B40" s="212"/>
      <c r="C40" s="1164"/>
      <c r="D40" s="1164"/>
      <c r="E40" s="1164"/>
      <c r="F40" s="1164"/>
      <c r="G40" s="1164"/>
      <c r="H40" s="1164"/>
      <c r="I40" s="1164"/>
      <c r="J40" s="1164"/>
      <c r="K40" s="466"/>
      <c r="L40" s="183"/>
      <c r="M40" s="184"/>
      <c r="N40" s="204"/>
      <c r="O40" s="204"/>
      <c r="P40" s="185"/>
      <c r="Q40" s="186"/>
      <c r="R40" s="186"/>
      <c r="S40" s="186"/>
      <c r="T40" s="186"/>
      <c r="U40" s="186"/>
      <c r="V40" s="186"/>
    </row>
    <row r="41" spans="1:22" s="206" customFormat="1" ht="23.4" customHeight="1" x14ac:dyDescent="0.25">
      <c r="A41" s="184"/>
      <c r="B41" s="212">
        <v>31</v>
      </c>
      <c r="C41" s="238"/>
      <c r="D41" s="1168" t="str">
        <f>HYPERLINK("#'" &amp; "Import" &amp; "'!B2",IF(VLOOKUP(CONCATENATE($C$3,"-",B41),Languages!$A:$D,1,TRUE)=CONCATENATE($C$3,"-",B41),VLOOKUP(CONCATENATE($C$3,"-",B41),Languages!$A:$D,Summary!$C$7,TRUE),NA()))</f>
        <v>Tulosten tuonti (Import)</v>
      </c>
      <c r="E41" s="1168"/>
      <c r="F41" s="1168"/>
      <c r="G41" s="445">
        <v>32</v>
      </c>
      <c r="H41" s="1168" t="str">
        <f>HYPERLINK("#'" &amp; "Export" &amp; "'!B2",IF(VLOOKUP(CONCATENATE($C$3,"-",G41),Languages!$A:$D,1,TRUE)=CONCATENATE($C$3,"-",G41),VLOOKUP(CONCATENATE($C$3,"-",G41),Languages!$A:$D,Summary!$C$7,TRUE),NA()))</f>
        <v>Tulosten vienti (Export)</v>
      </c>
      <c r="I41" s="1168"/>
      <c r="J41" s="1168"/>
      <c r="K41" s="191"/>
      <c r="L41" s="203"/>
      <c r="M41" s="184"/>
      <c r="N41" s="204"/>
      <c r="O41" s="204"/>
      <c r="P41" s="204"/>
      <c r="Q41" s="205"/>
      <c r="R41" s="205"/>
      <c r="S41" s="205"/>
      <c r="T41" s="205"/>
      <c r="U41" s="205"/>
      <c r="V41" s="205"/>
    </row>
    <row r="42" spans="1:22" s="206" customFormat="1" ht="23.4" customHeight="1" x14ac:dyDescent="0.25">
      <c r="A42" s="184"/>
      <c r="B42" s="212">
        <v>46</v>
      </c>
      <c r="C42" s="221"/>
      <c r="D42" s="1168" t="str">
        <f>HYPERLINK("#'" &amp; "Export_KTK" &amp; "'!B2",IF(VLOOKUP(CONCATENATE($C$3,"-",B42),Languages!$A:$D,1,TRUE)=CONCATENATE($C$3,"-",B42),VLOOKUP(CONCATENATE($C$3,"-",B42),Languages!$A:$D,Summary!$C$7,TRUE),NA()))</f>
        <v>Tulosten lähetys Kyberturvallisuuskeskukselle (Export_KTK)</v>
      </c>
      <c r="E42" s="1168"/>
      <c r="F42" s="1168"/>
      <c r="G42" s="220"/>
      <c r="J42" s="191"/>
      <c r="K42" s="191"/>
      <c r="L42" s="203"/>
      <c r="M42" s="184"/>
      <c r="N42" s="204"/>
      <c r="O42" s="204"/>
      <c r="P42" s="204"/>
      <c r="Q42" s="205"/>
      <c r="R42" s="205"/>
      <c r="S42" s="205"/>
      <c r="T42" s="205"/>
      <c r="U42" s="205"/>
      <c r="V42" s="205"/>
    </row>
    <row r="43" spans="1:22" s="206" customFormat="1" ht="23.4" customHeight="1" x14ac:dyDescent="0.25">
      <c r="A43" s="184"/>
      <c r="B43" s="212">
        <v>37</v>
      </c>
      <c r="C43" s="221"/>
      <c r="D43" s="1165" t="str">
        <f>HYPERLINK("#'" &amp; "R1" &amp; "'!B2",IF(VLOOKUP(CONCATENATE($C$3,"-",B43),Languages!$A:$D,1,TRUE)=CONCATENATE($C$3,"-",B43),VLOOKUP(CONCATENATE($C$3,"-",B43),Languages!$A:$D,Summary!$C$7,TRUE),NA()))</f>
        <v>Johdon kypsyysraportti (R1)</v>
      </c>
      <c r="E43" s="1165"/>
      <c r="F43" s="1165"/>
      <c r="G43" s="239">
        <v>38</v>
      </c>
      <c r="H43" s="1166" t="str">
        <f>HYPERLINK("#'" &amp; "R3" &amp; "'!B2",IF(VLOOKUP(CONCATENATE($C$3,"-",G43),Languages!$A:$D,1,TRUE)=CONCATENATE($C$3,"-",G43),VLOOKUP(CONCATENATE($C$3,"-",G43),Languages!$A:$D,Summary!$C$7,TRUE),NA()))</f>
        <v>Yksityiskohtainen NIST Framework Core -raportti (R3)</v>
      </c>
      <c r="I43" s="1166"/>
      <c r="J43" s="1166"/>
      <c r="K43" s="191"/>
      <c r="L43" s="203"/>
      <c r="M43" s="184"/>
      <c r="N43" s="204"/>
      <c r="O43" s="204"/>
      <c r="P43" s="204"/>
      <c r="Q43" s="205"/>
      <c r="R43" s="205"/>
      <c r="S43" s="205"/>
      <c r="T43" s="205"/>
      <c r="U43" s="205"/>
      <c r="V43" s="205"/>
    </row>
    <row r="44" spans="1:22" s="206" customFormat="1" ht="23.4" customHeight="1" x14ac:dyDescent="0.25">
      <c r="A44" s="184"/>
      <c r="B44" s="212">
        <v>33</v>
      </c>
      <c r="C44" s="238"/>
      <c r="D44" s="1165" t="str">
        <f>HYPERLINK("#'" &amp; "R2" &amp; "'!B2",IF(VLOOKUP(CONCATENATE($C$3,"-",B44),Languages!$A:$D,1,TRUE)=CONCATENATE($C$3,"-",B44),VLOOKUP(CONCATENATE($C$3,"-",B44),Languages!$A:$D,Summary!$C$7,TRUE),NA()))</f>
        <v>Kybermittarin kypsyysraportti (R2)</v>
      </c>
      <c r="E44" s="1165"/>
      <c r="F44" s="1165"/>
      <c r="G44" s="239">
        <v>34</v>
      </c>
      <c r="H44" s="1166" t="str">
        <f>HYPERLINK("#'" &amp; "R4" &amp; "'!B2",IF(VLOOKUP(CONCATENATE($C$3,"-",G44),Languages!$A:$D,1,TRUE)=CONCATENATE($C$3,"-",G44),VLOOKUP(CONCATENATE($C$3,"-",G44),Languages!$A:$D,Summary!$C$7,TRUE),NA()))</f>
        <v>Kyberturvallisuuden kehityskohteiden raportti (R4)</v>
      </c>
      <c r="I44" s="1166"/>
      <c r="J44" s="1166"/>
      <c r="K44" s="191"/>
      <c r="L44" s="203"/>
      <c r="M44" s="184"/>
      <c r="N44" s="204"/>
      <c r="O44" s="204"/>
      <c r="P44" s="204"/>
      <c r="Q44" s="205"/>
      <c r="R44" s="205"/>
      <c r="S44" s="205"/>
      <c r="T44" s="205"/>
      <c r="U44" s="205"/>
      <c r="V44" s="205"/>
    </row>
    <row r="45" spans="1:22" s="206" customFormat="1" ht="23.4" customHeight="1" x14ac:dyDescent="0.25">
      <c r="A45" s="184"/>
      <c r="B45" s="207">
        <v>36</v>
      </c>
      <c r="C45" s="238"/>
      <c r="D45" s="1163" t="str">
        <f>HYPERLINK("#'" &amp; "R5" &amp; "'!B2",IF(VLOOKUP(CONCATENATE($C$3,"-",B45),Languages!$A:$D,1,TRUE)=CONCATENATE($C$3,"-",B45),VLOOKUP(CONCATENATE($C$3,"-",B45),Languages!$A:$D,Summary!$C$7,TRUE),NA()))</f>
        <v>Yleiset hallintatoimet -raportti (R5)</v>
      </c>
      <c r="E45" s="1163"/>
      <c r="F45" s="1163"/>
      <c r="G45" s="1141">
        <v>48</v>
      </c>
      <c r="H45" s="1166" t="str">
        <f>HYPERLINK("#'" &amp; "R6" &amp; "'!B2",IF(VLOOKUP(CONCATENATE($C$3,"-",G45),Languages!$A:$D,1,TRUE)=CONCATENATE($C$3,"-",G45),VLOOKUP(CONCATENATE($C$3,"-",G45),Languages!$A:$D,Summary!$C$7,TRUE),NA()))</f>
        <v>Osion käytäntöjen toteutuminen kypsyystasoittain (R6)</v>
      </c>
      <c r="I45" s="1166"/>
      <c r="J45" s="1166"/>
      <c r="K45" s="191"/>
      <c r="L45" s="203"/>
      <c r="M45" s="184"/>
      <c r="N45" s="204"/>
      <c r="O45" s="204"/>
      <c r="P45" s="204"/>
      <c r="Q45" s="205"/>
      <c r="R45" s="205"/>
      <c r="S45" s="205"/>
      <c r="T45" s="205"/>
      <c r="U45" s="205"/>
      <c r="V45" s="205"/>
    </row>
    <row r="46" spans="1:22" s="206" customFormat="1" ht="23.4" customHeight="1" x14ac:dyDescent="0.25">
      <c r="A46" s="184"/>
      <c r="B46" s="207">
        <v>47</v>
      </c>
      <c r="C46" s="238"/>
      <c r="D46" s="1163" t="str">
        <f>HYPERLINK("#'" &amp; "R7" &amp; "'!B2",IF(VLOOKUP(CONCATENATE($C$3,"-",B46),Languages!$A:$D,1,TRUE)=CONCATENATE($C$3,"-",B46),VLOOKUP(CONCATENATE($C$3,"-",B46),Languages!$A:$D,Summary!$C$7,TRUE),NA()))</f>
        <v>Osiokohtainen kypsyystaso -raportti (R7)</v>
      </c>
      <c r="E46" s="1163"/>
      <c r="F46" s="1163"/>
      <c r="G46" s="1139"/>
      <c r="H46" s="1138"/>
      <c r="I46" s="1138"/>
      <c r="J46" s="191"/>
      <c r="K46" s="191"/>
      <c r="L46" s="203"/>
      <c r="M46" s="184"/>
      <c r="N46" s="204"/>
      <c r="O46" s="204"/>
      <c r="P46" s="204"/>
      <c r="Q46" s="205"/>
      <c r="R46" s="205"/>
      <c r="S46" s="205"/>
      <c r="T46" s="205"/>
      <c r="U46" s="205"/>
      <c r="V46" s="205"/>
    </row>
    <row r="47" spans="1:22" s="143" customFormat="1" x14ac:dyDescent="0.25">
      <c r="A47" s="240"/>
      <c r="B47" s="241"/>
      <c r="C47" s="242"/>
      <c r="D47" s="243"/>
      <c r="E47" s="243"/>
      <c r="F47" s="243"/>
      <c r="G47" s="244"/>
      <c r="H47" s="245"/>
      <c r="I47" s="246"/>
      <c r="J47" s="246"/>
      <c r="K47" s="246"/>
      <c r="L47" s="247"/>
      <c r="M47" s="240"/>
      <c r="N47" s="204"/>
      <c r="O47" s="204"/>
      <c r="P47" s="141"/>
      <c r="Q47" s="142"/>
      <c r="R47" s="142"/>
      <c r="S47" s="142"/>
      <c r="T47" s="142"/>
      <c r="U47" s="142"/>
      <c r="V47" s="142"/>
    </row>
    <row r="48" spans="1:22" s="143" customFormat="1" x14ac:dyDescent="0.25">
      <c r="A48" s="240"/>
      <c r="B48" s="240"/>
      <c r="C48" s="248"/>
      <c r="D48" s="240"/>
      <c r="E48" s="240"/>
      <c r="F48" s="240"/>
      <c r="G48" s="249"/>
      <c r="H48" s="249"/>
      <c r="I48" s="240"/>
      <c r="J48" s="240"/>
      <c r="K48" s="240"/>
      <c r="L48" s="240"/>
      <c r="M48" s="240"/>
      <c r="N48" s="204"/>
      <c r="O48" s="204"/>
      <c r="P48" s="141"/>
      <c r="Q48" s="142"/>
      <c r="R48" s="142"/>
      <c r="S48" s="142"/>
      <c r="T48" s="142"/>
      <c r="U48" s="142"/>
      <c r="V48" s="142"/>
    </row>
  </sheetData>
  <sheetProtection sheet="1" formatCells="0" formatColumns="0" formatRows="0"/>
  <mergeCells count="55">
    <mergeCell ref="E12:F12"/>
    <mergeCell ref="E13:F13"/>
    <mergeCell ref="I13:J13"/>
    <mergeCell ref="J33:K33"/>
    <mergeCell ref="E15:F15"/>
    <mergeCell ref="I15:J15"/>
    <mergeCell ref="D29:E29"/>
    <mergeCell ref="H29:I29"/>
    <mergeCell ref="P2:V15"/>
    <mergeCell ref="D44:F44"/>
    <mergeCell ref="H44:J44"/>
    <mergeCell ref="D41:F41"/>
    <mergeCell ref="D31:E31"/>
    <mergeCell ref="H31:I31"/>
    <mergeCell ref="H32:I32"/>
    <mergeCell ref="D34:E34"/>
    <mergeCell ref="C40:J40"/>
    <mergeCell ref="H33:I33"/>
    <mergeCell ref="H34:I34"/>
    <mergeCell ref="D37:F37"/>
    <mergeCell ref="D42:F42"/>
    <mergeCell ref="E7:F7"/>
    <mergeCell ref="C10:J10"/>
    <mergeCell ref="D30:E30"/>
    <mergeCell ref="C6:J6"/>
    <mergeCell ref="D33:E33"/>
    <mergeCell ref="F34:G34"/>
    <mergeCell ref="E14:F14"/>
    <mergeCell ref="D45:F45"/>
    <mergeCell ref="H45:J45"/>
    <mergeCell ref="I12:J12"/>
    <mergeCell ref="I23:J23"/>
    <mergeCell ref="H30:I30"/>
    <mergeCell ref="D18:J20"/>
    <mergeCell ref="E11:F11"/>
    <mergeCell ref="I11:J11"/>
    <mergeCell ref="I14:J14"/>
    <mergeCell ref="I22:J22"/>
    <mergeCell ref="D22:F22"/>
    <mergeCell ref="D23:G24"/>
    <mergeCell ref="D46:F46"/>
    <mergeCell ref="C27:J27"/>
    <mergeCell ref="D43:F43"/>
    <mergeCell ref="H43:J43"/>
    <mergeCell ref="F31:G31"/>
    <mergeCell ref="F32:G32"/>
    <mergeCell ref="J31:K31"/>
    <mergeCell ref="J32:K32"/>
    <mergeCell ref="H41:J41"/>
    <mergeCell ref="J34:K34"/>
    <mergeCell ref="D32:E32"/>
    <mergeCell ref="F33:G33"/>
    <mergeCell ref="F29:G29"/>
    <mergeCell ref="F30:G30"/>
    <mergeCell ref="J30:K30"/>
  </mergeCells>
  <pageMargins left="0.7" right="0.7" top="0.75" bottom="0.75" header="0.3" footer="0.3"/>
  <pageSetup paperSize="9" scale="43" orientation="portrait" r:id="rId1"/>
  <colBreaks count="1" manualBreakCount="1">
    <brk id="13" max="46" man="1"/>
  </colBreaks>
  <ignoredErrors>
    <ignoredError sqref="E33 E32 E31 E34 E30 D33 D30 D36:E36 D34 D31 D32 E35" unlockedFormula="1"/>
  </ignoredErrors>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Parameters!$B$23:$B$25</xm:f>
          </x14:formula1>
          <xm:sqref>I23:J23</xm:sqref>
        </x14:dataValidation>
        <x14:dataValidation type="list" allowBlank="1" showInputMessage="1" showErrorMessage="1">
          <x14:formula1>
            <xm:f>Parameters!$D$2:$F$2</xm:f>
          </x14:formula1>
          <xm:sqref>H7</xm:sqref>
        </x14:dataValidation>
        <x14:dataValidation type="list" allowBlank="1" showInputMessage="1" showErrorMessage="1">
          <x14:formula1>
            <xm:f>Parameters!$B$26:$B$40</xm:f>
          </x14:formula1>
          <xm:sqref>E12:F12</xm:sqref>
        </x14:dataValidation>
        <x14:dataValidation type="list" allowBlank="1" showInputMessage="1" showErrorMessage="1">
          <x14:formula1>
            <xm:f>Parameters!$B$41:$B$77</xm:f>
          </x14:formula1>
          <xm:sqref>E13:F13</xm:sqref>
        </x14:dataValidation>
      </x14:dataValidation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92D050"/>
    <pageSetUpPr fitToPage="1"/>
  </sheetPr>
  <dimension ref="A1:G399"/>
  <sheetViews>
    <sheetView showGridLines="0" zoomScaleNormal="100" workbookViewId="0">
      <selection activeCell="D20" sqref="D20"/>
    </sheetView>
  </sheetViews>
  <sheetFormatPr defaultColWidth="9.1796875" defaultRowHeight="12.6" x14ac:dyDescent="0.2"/>
  <cols>
    <col min="1" max="1" width="16.6328125" style="447" customWidth="1"/>
    <col min="2" max="2" width="6.6328125" style="446" customWidth="1"/>
    <col min="3" max="3" width="25.7265625" style="449" customWidth="1"/>
    <col min="4" max="4" width="10.6328125" style="447" customWidth="1"/>
    <col min="5" max="5" width="16.6328125" style="451" customWidth="1"/>
    <col min="6" max="6" width="6.6328125" style="751" customWidth="1"/>
    <col min="7" max="7" width="25.6328125" style="751" customWidth="1"/>
    <col min="8" max="16384" width="9.1796875" style="450"/>
  </cols>
  <sheetData>
    <row r="1" spans="1:7" ht="26.55" customHeight="1" thickBot="1" x14ac:dyDescent="0.25">
      <c r="A1" s="1306" t="s">
        <v>1692</v>
      </c>
      <c r="B1" s="1307"/>
      <c r="C1" s="459" t="s">
        <v>1702</v>
      </c>
      <c r="D1" s="1308" t="s">
        <v>1693</v>
      </c>
      <c r="E1" s="1309"/>
    </row>
    <row r="2" spans="1:7" ht="13.2" thickBot="1" x14ac:dyDescent="0.25">
      <c r="A2" s="454" t="s">
        <v>1694</v>
      </c>
      <c r="B2" s="462" t="s">
        <v>1696</v>
      </c>
      <c r="C2" s="462" t="s">
        <v>1484</v>
      </c>
      <c r="D2" s="455" t="s">
        <v>1698</v>
      </c>
      <c r="E2" s="455" t="s">
        <v>1695</v>
      </c>
      <c r="F2" s="752" t="s">
        <v>1697</v>
      </c>
      <c r="G2" s="753" t="s">
        <v>2280</v>
      </c>
    </row>
    <row r="3" spans="1:7" ht="22.05" customHeight="1" x14ac:dyDescent="0.2">
      <c r="A3" s="448" t="s">
        <v>158</v>
      </c>
      <c r="B3" s="463">
        <f>VLOOKUP($A3,Table22[],2,FALSE)</f>
        <v>0</v>
      </c>
      <c r="C3" s="463">
        <f>VLOOKUP($A3,Table22[],3,FALSE)</f>
        <v>0</v>
      </c>
      <c r="D3" s="460" t="s">
        <v>1700</v>
      </c>
      <c r="E3" s="447" t="s">
        <v>158</v>
      </c>
      <c r="F3" s="452">
        <f t="shared" ref="F3:G5" si="0">B3</f>
        <v>0</v>
      </c>
      <c r="G3" s="452">
        <f t="shared" si="0"/>
        <v>0</v>
      </c>
    </row>
    <row r="4" spans="1:7" ht="22.05" customHeight="1" x14ac:dyDescent="0.2">
      <c r="A4" s="448" t="s">
        <v>160</v>
      </c>
      <c r="B4" s="464">
        <f>VLOOKUP($A4,Table22[],2,FALSE)</f>
        <v>0</v>
      </c>
      <c r="C4" s="732">
        <f>VLOOKUP($A4,Table22[],3,FALSE)</f>
        <v>0</v>
      </c>
      <c r="D4" s="461" t="s">
        <v>1700</v>
      </c>
      <c r="E4" s="447" t="s">
        <v>160</v>
      </c>
      <c r="F4" s="453">
        <f t="shared" si="0"/>
        <v>0</v>
      </c>
      <c r="G4" s="453">
        <f t="shared" si="0"/>
        <v>0</v>
      </c>
    </row>
    <row r="5" spans="1:7" ht="22.05" customHeight="1" x14ac:dyDescent="0.2">
      <c r="A5" s="448" t="s">
        <v>161</v>
      </c>
      <c r="B5" s="464">
        <f>VLOOKUP($A5,Table22[],2,FALSE)</f>
        <v>0</v>
      </c>
      <c r="C5" s="732">
        <f>VLOOKUP($A5,Table22[],3,FALSE)</f>
        <v>0</v>
      </c>
      <c r="D5" s="461" t="s">
        <v>1700</v>
      </c>
      <c r="E5" s="447" t="s">
        <v>161</v>
      </c>
      <c r="F5" s="453">
        <f t="shared" si="0"/>
        <v>0</v>
      </c>
      <c r="G5" s="453">
        <f t="shared" si="0"/>
        <v>0</v>
      </c>
    </row>
    <row r="6" spans="1:7" ht="22.05" customHeight="1" x14ac:dyDescent="0.2">
      <c r="A6" s="448" t="s">
        <v>162</v>
      </c>
      <c r="B6" s="464">
        <f>VLOOKUP($A6,Table22[],2,FALSE)</f>
        <v>0</v>
      </c>
      <c r="C6" s="732">
        <f>VLOOKUP($A6,Table22[],3,FALSE)</f>
        <v>0</v>
      </c>
      <c r="D6" s="461" t="s">
        <v>1699</v>
      </c>
      <c r="E6" s="447" t="s">
        <v>162</v>
      </c>
      <c r="F6" s="453">
        <v>0</v>
      </c>
      <c r="G6" s="453">
        <v>0</v>
      </c>
    </row>
    <row r="7" spans="1:7" ht="22.05" customHeight="1" x14ac:dyDescent="0.2">
      <c r="A7" s="448" t="s">
        <v>163</v>
      </c>
      <c r="B7" s="464">
        <f>VLOOKUP($A7,Table22[],2,FALSE)</f>
        <v>0</v>
      </c>
      <c r="C7" s="732">
        <f>VLOOKUP($A7,Table22[],3,FALSE)</f>
        <v>0</v>
      </c>
      <c r="D7" s="461" t="s">
        <v>1699</v>
      </c>
      <c r="E7" s="447" t="s">
        <v>162</v>
      </c>
      <c r="F7" s="453">
        <v>0</v>
      </c>
      <c r="G7" s="453">
        <v>0</v>
      </c>
    </row>
    <row r="8" spans="1:7" ht="22.05" customHeight="1" x14ac:dyDescent="0.2">
      <c r="A8" s="448" t="s">
        <v>164</v>
      </c>
      <c r="B8" s="464">
        <f>VLOOKUP($A8,Table22[],2,FALSE)</f>
        <v>0</v>
      </c>
      <c r="C8" s="732">
        <f>VLOOKUP($A8,Table22[],3,FALSE)</f>
        <v>0</v>
      </c>
      <c r="D8" s="461" t="s">
        <v>1700</v>
      </c>
      <c r="E8" s="447" t="s">
        <v>163</v>
      </c>
      <c r="F8" s="453">
        <f>B8</f>
        <v>0</v>
      </c>
      <c r="G8" s="453">
        <f>C8</f>
        <v>0</v>
      </c>
    </row>
    <row r="9" spans="1:7" ht="22.05" customHeight="1" x14ac:dyDescent="0.2">
      <c r="A9" s="448" t="s">
        <v>165</v>
      </c>
      <c r="B9" s="464">
        <f>VLOOKUP($A9,Table22[],2,FALSE)</f>
        <v>0</v>
      </c>
      <c r="C9" s="732">
        <f>VLOOKUP($A9,Table22[],3,FALSE)</f>
        <v>0</v>
      </c>
      <c r="D9" s="461" t="s">
        <v>1699</v>
      </c>
      <c r="E9" s="447" t="s">
        <v>164</v>
      </c>
      <c r="F9" s="453">
        <v>0</v>
      </c>
      <c r="G9" s="453">
        <v>0</v>
      </c>
    </row>
    <row r="10" spans="1:7" ht="22.05" customHeight="1" x14ac:dyDescent="0.2">
      <c r="A10" s="448" t="s">
        <v>166</v>
      </c>
      <c r="B10" s="464">
        <f>VLOOKUP($A10,Table22[],2,FALSE)</f>
        <v>0</v>
      </c>
      <c r="C10" s="732">
        <f>VLOOKUP($A10,Table22[],3,FALSE)</f>
        <v>0</v>
      </c>
      <c r="D10" s="461" t="s">
        <v>1700</v>
      </c>
      <c r="E10" s="447" t="s">
        <v>168</v>
      </c>
      <c r="F10" s="453">
        <f>B10</f>
        <v>0</v>
      </c>
      <c r="G10" s="453">
        <f>C10</f>
        <v>0</v>
      </c>
    </row>
    <row r="11" spans="1:7" ht="22.05" customHeight="1" x14ac:dyDescent="0.2">
      <c r="A11" s="448" t="s">
        <v>167</v>
      </c>
      <c r="B11" s="464">
        <f>VLOOKUP($A11,Table22[],2,FALSE)</f>
        <v>0</v>
      </c>
      <c r="C11" s="732">
        <f>VLOOKUP($A11,Table22[],3,FALSE)</f>
        <v>0</v>
      </c>
      <c r="D11" s="461" t="s">
        <v>1699</v>
      </c>
      <c r="E11" s="447" t="s">
        <v>166</v>
      </c>
      <c r="F11" s="453">
        <v>0</v>
      </c>
      <c r="G11" s="453">
        <v>0</v>
      </c>
    </row>
    <row r="12" spans="1:7" ht="22.05" customHeight="1" x14ac:dyDescent="0.2">
      <c r="A12" s="448" t="s">
        <v>168</v>
      </c>
      <c r="B12" s="464">
        <f>VLOOKUP($A12,Table22[],2,FALSE)</f>
        <v>0</v>
      </c>
      <c r="C12" s="732">
        <f>VLOOKUP($A12,Table22[],3,FALSE)</f>
        <v>0</v>
      </c>
      <c r="D12" s="461" t="s">
        <v>1700</v>
      </c>
      <c r="E12" s="447" t="s">
        <v>167</v>
      </c>
      <c r="F12" s="453">
        <f t="shared" ref="F12:G15" si="1">B12</f>
        <v>0</v>
      </c>
      <c r="G12" s="453">
        <f t="shared" si="1"/>
        <v>0</v>
      </c>
    </row>
    <row r="13" spans="1:7" ht="22.05" customHeight="1" x14ac:dyDescent="0.2">
      <c r="A13" s="448" t="s">
        <v>169</v>
      </c>
      <c r="B13" s="464">
        <f>VLOOKUP($A13,Table22[],2,FALSE)</f>
        <v>0</v>
      </c>
      <c r="C13" s="732">
        <f>VLOOKUP($A13,Table22[],3,FALSE)</f>
        <v>0</v>
      </c>
      <c r="D13" s="461" t="s">
        <v>1700</v>
      </c>
      <c r="E13" s="447" t="s">
        <v>169</v>
      </c>
      <c r="F13" s="453">
        <f t="shared" si="1"/>
        <v>0</v>
      </c>
      <c r="G13" s="453">
        <f t="shared" si="1"/>
        <v>0</v>
      </c>
    </row>
    <row r="14" spans="1:7" ht="22.05" customHeight="1" x14ac:dyDescent="0.2">
      <c r="A14" s="448" t="s">
        <v>169</v>
      </c>
      <c r="B14" s="464">
        <f>VLOOKUP($A14,Table22[],2,FALSE)</f>
        <v>0</v>
      </c>
      <c r="C14" s="732">
        <f>VLOOKUP($A14,Table22[],3,FALSE)</f>
        <v>0</v>
      </c>
      <c r="D14" s="461" t="s">
        <v>1700</v>
      </c>
      <c r="E14" s="447" t="s">
        <v>170</v>
      </c>
      <c r="F14" s="453">
        <f t="shared" si="1"/>
        <v>0</v>
      </c>
      <c r="G14" s="453">
        <f t="shared" si="1"/>
        <v>0</v>
      </c>
    </row>
    <row r="15" spans="1:7" ht="22.05" customHeight="1" x14ac:dyDescent="0.2">
      <c r="A15" s="448" t="s">
        <v>170</v>
      </c>
      <c r="B15" s="464">
        <f>VLOOKUP($A15,Table22[],2,FALSE)</f>
        <v>0</v>
      </c>
      <c r="C15" s="732">
        <f>VLOOKUP($A15,Table22[],3,FALSE)</f>
        <v>0</v>
      </c>
      <c r="D15" s="461" t="s">
        <v>1700</v>
      </c>
      <c r="E15" s="447" t="s">
        <v>171</v>
      </c>
      <c r="F15" s="453">
        <f t="shared" si="1"/>
        <v>0</v>
      </c>
      <c r="G15" s="453">
        <f t="shared" si="1"/>
        <v>0</v>
      </c>
    </row>
    <row r="16" spans="1:7" ht="22.05" customHeight="1" x14ac:dyDescent="0.2">
      <c r="A16" s="448" t="s">
        <v>171</v>
      </c>
      <c r="B16" s="464">
        <f>VLOOKUP($A16,Table22[],2,FALSE)</f>
        <v>0</v>
      </c>
      <c r="C16" s="732">
        <f>VLOOKUP($A16,Table22[],3,FALSE)</f>
        <v>0</v>
      </c>
      <c r="D16" s="461" t="s">
        <v>1699</v>
      </c>
      <c r="E16" s="447" t="s">
        <v>172</v>
      </c>
      <c r="F16" s="453">
        <v>0</v>
      </c>
      <c r="G16" s="453">
        <v>0</v>
      </c>
    </row>
    <row r="17" spans="1:7" ht="22.05" customHeight="1" x14ac:dyDescent="0.2">
      <c r="A17" s="448" t="s">
        <v>172</v>
      </c>
      <c r="B17" s="464">
        <f>VLOOKUP($A17,Table22[],2,FALSE)</f>
        <v>0</v>
      </c>
      <c r="C17" s="732">
        <f>VLOOKUP($A17,Table22[],3,FALSE)</f>
        <v>0</v>
      </c>
      <c r="D17" s="461" t="s">
        <v>1700</v>
      </c>
      <c r="E17" s="447" t="s">
        <v>174</v>
      </c>
      <c r="F17" s="453">
        <f t="shared" ref="F17:G22" si="2">B17</f>
        <v>0</v>
      </c>
      <c r="G17" s="453">
        <f t="shared" si="2"/>
        <v>0</v>
      </c>
    </row>
    <row r="18" spans="1:7" ht="22.05" customHeight="1" x14ac:dyDescent="0.2">
      <c r="A18" s="448" t="s">
        <v>174</v>
      </c>
      <c r="B18" s="464">
        <f>VLOOKUP($A18,Table22[],2,FALSE)</f>
        <v>0</v>
      </c>
      <c r="C18" s="732">
        <f>VLOOKUP($A18,Table22[],3,FALSE)</f>
        <v>0</v>
      </c>
      <c r="D18" s="461" t="s">
        <v>1700</v>
      </c>
      <c r="E18" s="447" t="s">
        <v>1050</v>
      </c>
      <c r="F18" s="453">
        <f t="shared" si="2"/>
        <v>0</v>
      </c>
      <c r="G18" s="453">
        <f t="shared" si="2"/>
        <v>0</v>
      </c>
    </row>
    <row r="19" spans="1:7" ht="22.05" customHeight="1" x14ac:dyDescent="0.2">
      <c r="A19" s="448" t="s">
        <v>176</v>
      </c>
      <c r="B19" s="464">
        <f>VLOOKUP($A19,Table22[],2,FALSE)</f>
        <v>0</v>
      </c>
      <c r="C19" s="732">
        <f>VLOOKUP($A19,Table22[],3,FALSE)</f>
        <v>0</v>
      </c>
      <c r="D19" s="461" t="s">
        <v>1700</v>
      </c>
      <c r="E19" s="447" t="s">
        <v>1053</v>
      </c>
      <c r="F19" s="453">
        <f t="shared" si="2"/>
        <v>0</v>
      </c>
      <c r="G19" s="453">
        <f t="shared" si="2"/>
        <v>0</v>
      </c>
    </row>
    <row r="20" spans="1:7" ht="22.05" customHeight="1" x14ac:dyDescent="0.2">
      <c r="A20" s="448" t="s">
        <v>177</v>
      </c>
      <c r="B20" s="464">
        <f>VLOOKUP($A20,Table22[],2,FALSE)</f>
        <v>0</v>
      </c>
      <c r="C20" s="732">
        <f>VLOOKUP($A20,Table22[],3,FALSE)</f>
        <v>0</v>
      </c>
      <c r="D20" s="461" t="s">
        <v>1700</v>
      </c>
      <c r="E20" s="447" t="s">
        <v>1054</v>
      </c>
      <c r="F20" s="453">
        <f t="shared" si="2"/>
        <v>0</v>
      </c>
      <c r="G20" s="453">
        <f t="shared" si="2"/>
        <v>0</v>
      </c>
    </row>
    <row r="21" spans="1:7" ht="22.05" customHeight="1" x14ac:dyDescent="0.2">
      <c r="A21" s="448" t="s">
        <v>178</v>
      </c>
      <c r="B21" s="464">
        <f>VLOOKUP($A21,Table22[],2,FALSE)</f>
        <v>0</v>
      </c>
      <c r="C21" s="732">
        <f>VLOOKUP($A21,Table22[],3,FALSE)</f>
        <v>0</v>
      </c>
      <c r="D21" s="461" t="s">
        <v>1700</v>
      </c>
      <c r="E21" s="447" t="s">
        <v>1056</v>
      </c>
      <c r="F21" s="453">
        <f t="shared" si="2"/>
        <v>0</v>
      </c>
      <c r="G21" s="453">
        <f t="shared" si="2"/>
        <v>0</v>
      </c>
    </row>
    <row r="22" spans="1:7" ht="22.05" customHeight="1" x14ac:dyDescent="0.2">
      <c r="A22" s="448" t="s">
        <v>179</v>
      </c>
      <c r="B22" s="464">
        <f>VLOOKUP($A22,Table22[],2,FALSE)</f>
        <v>0</v>
      </c>
      <c r="C22" s="732">
        <f>VLOOKUP($A22,Table22[],3,FALSE)</f>
        <v>0</v>
      </c>
      <c r="D22" s="461" t="s">
        <v>1700</v>
      </c>
      <c r="E22" s="447" t="s">
        <v>1057</v>
      </c>
      <c r="F22" s="453">
        <f t="shared" si="2"/>
        <v>0</v>
      </c>
      <c r="G22" s="453">
        <f t="shared" si="2"/>
        <v>0</v>
      </c>
    </row>
    <row r="23" spans="1:7" ht="22.05" customHeight="1" x14ac:dyDescent="0.2">
      <c r="A23" s="448" t="s">
        <v>180</v>
      </c>
      <c r="B23" s="464">
        <f>VLOOKUP($A23,Table22[],2,FALSE)</f>
        <v>0</v>
      </c>
      <c r="C23" s="732">
        <f>VLOOKUP($A23,Table22[],3,FALSE)</f>
        <v>0</v>
      </c>
      <c r="D23" s="461" t="s">
        <v>1699</v>
      </c>
      <c r="E23" s="447" t="s">
        <v>1055</v>
      </c>
      <c r="F23" s="453">
        <v>0</v>
      </c>
      <c r="G23" s="453">
        <v>0</v>
      </c>
    </row>
    <row r="24" spans="1:7" ht="22.05" customHeight="1" x14ac:dyDescent="0.2">
      <c r="A24" s="448" t="s">
        <v>181</v>
      </c>
      <c r="B24" s="464">
        <f>VLOOKUP($A24,Table22[],2,FALSE)</f>
        <v>0</v>
      </c>
      <c r="C24" s="732">
        <f>VLOOKUP($A24,Table22[],3,FALSE)</f>
        <v>0</v>
      </c>
      <c r="D24" s="461" t="s">
        <v>1699</v>
      </c>
      <c r="E24" s="447" t="s">
        <v>1058</v>
      </c>
      <c r="F24" s="453">
        <v>0</v>
      </c>
      <c r="G24" s="453">
        <v>0</v>
      </c>
    </row>
    <row r="25" spans="1:7" ht="22.05" customHeight="1" x14ac:dyDescent="0.2">
      <c r="A25" s="448" t="s">
        <v>182</v>
      </c>
      <c r="B25" s="464">
        <f>VLOOKUP($A25,Table22[],2,FALSE)</f>
        <v>0</v>
      </c>
      <c r="C25" s="732">
        <f>VLOOKUP($A25,Table22[],3,FALSE)</f>
        <v>0</v>
      </c>
      <c r="D25" s="461" t="s">
        <v>1701</v>
      </c>
      <c r="E25" s="447"/>
      <c r="F25" s="754"/>
      <c r="G25" s="754"/>
    </row>
    <row r="26" spans="1:7" ht="22.05" customHeight="1" x14ac:dyDescent="0.2">
      <c r="A26" s="448" t="s">
        <v>345</v>
      </c>
      <c r="B26" s="464">
        <f>VLOOKUP($A26,Table22[],2,FALSE)</f>
        <v>0</v>
      </c>
      <c r="C26" s="732">
        <f>VLOOKUP($A26,Table22[],3,FALSE)</f>
        <v>0</v>
      </c>
      <c r="D26" s="461" t="s">
        <v>1700</v>
      </c>
      <c r="E26" s="447" t="s">
        <v>345</v>
      </c>
      <c r="F26" s="453">
        <f t="shared" ref="F26:G30" si="3">B26</f>
        <v>0</v>
      </c>
      <c r="G26" s="453">
        <f t="shared" si="3"/>
        <v>0</v>
      </c>
    </row>
    <row r="27" spans="1:7" ht="22.05" customHeight="1" x14ac:dyDescent="0.2">
      <c r="A27" s="448" t="s">
        <v>346</v>
      </c>
      <c r="B27" s="464">
        <f>VLOOKUP($A27,Table22[],2,FALSE)</f>
        <v>0</v>
      </c>
      <c r="C27" s="732">
        <f>VLOOKUP($A27,Table22[],3,FALSE)</f>
        <v>0</v>
      </c>
      <c r="D27" s="461" t="s">
        <v>1700</v>
      </c>
      <c r="E27" s="447" t="s">
        <v>346</v>
      </c>
      <c r="F27" s="453">
        <f t="shared" si="3"/>
        <v>0</v>
      </c>
      <c r="G27" s="453">
        <f t="shared" si="3"/>
        <v>0</v>
      </c>
    </row>
    <row r="28" spans="1:7" ht="22.05" customHeight="1" x14ac:dyDescent="0.2">
      <c r="A28" s="448" t="s">
        <v>347</v>
      </c>
      <c r="B28" s="464">
        <f>VLOOKUP($A28,Table22[],2,FALSE)</f>
        <v>0</v>
      </c>
      <c r="C28" s="732">
        <f>VLOOKUP($A28,Table22[],3,FALSE)</f>
        <v>0</v>
      </c>
      <c r="D28" s="461" t="s">
        <v>1700</v>
      </c>
      <c r="E28" s="447" t="s">
        <v>347</v>
      </c>
      <c r="F28" s="453">
        <f t="shared" si="3"/>
        <v>0</v>
      </c>
      <c r="G28" s="453">
        <f t="shared" si="3"/>
        <v>0</v>
      </c>
    </row>
    <row r="29" spans="1:7" ht="22.05" customHeight="1" x14ac:dyDescent="0.2">
      <c r="A29" s="448" t="s">
        <v>348</v>
      </c>
      <c r="B29" s="464">
        <f>VLOOKUP($A29,Table22[],2,FALSE)</f>
        <v>0</v>
      </c>
      <c r="C29" s="732">
        <f>VLOOKUP($A29,Table22[],3,FALSE)</f>
        <v>0</v>
      </c>
      <c r="D29" s="461" t="s">
        <v>1700</v>
      </c>
      <c r="E29" s="447" t="s">
        <v>348</v>
      </c>
      <c r="F29" s="453">
        <f t="shared" si="3"/>
        <v>0</v>
      </c>
      <c r="G29" s="453">
        <f t="shared" si="3"/>
        <v>0</v>
      </c>
    </row>
    <row r="30" spans="1:7" ht="22.05" customHeight="1" x14ac:dyDescent="0.2">
      <c r="A30" s="448" t="s">
        <v>349</v>
      </c>
      <c r="B30" s="464">
        <f>VLOOKUP($A30,Table22[],2,FALSE)</f>
        <v>0</v>
      </c>
      <c r="C30" s="732">
        <f>VLOOKUP($A30,Table22[],3,FALSE)</f>
        <v>0</v>
      </c>
      <c r="D30" s="461" t="s">
        <v>1700</v>
      </c>
      <c r="E30" s="447" t="s">
        <v>349</v>
      </c>
      <c r="F30" s="453">
        <f t="shared" si="3"/>
        <v>0</v>
      </c>
      <c r="G30" s="453">
        <f t="shared" si="3"/>
        <v>0</v>
      </c>
    </row>
    <row r="31" spans="1:7" ht="22.05" customHeight="1" x14ac:dyDescent="0.2">
      <c r="A31" s="448" t="s">
        <v>350</v>
      </c>
      <c r="B31" s="464">
        <f>VLOOKUP($A31,Table22[],2,FALSE)</f>
        <v>0</v>
      </c>
      <c r="C31" s="732">
        <f>VLOOKUP($A31,Table22[],3,FALSE)</f>
        <v>0</v>
      </c>
      <c r="D31" s="461" t="s">
        <v>1699</v>
      </c>
      <c r="E31" s="447" t="s">
        <v>350</v>
      </c>
      <c r="F31" s="453">
        <v>0</v>
      </c>
      <c r="G31" s="453">
        <v>0</v>
      </c>
    </row>
    <row r="32" spans="1:7" ht="22.05" customHeight="1" x14ac:dyDescent="0.2">
      <c r="A32" s="448" t="s">
        <v>350</v>
      </c>
      <c r="B32" s="464">
        <f>VLOOKUP($A32,Table22[],2,FALSE)</f>
        <v>0</v>
      </c>
      <c r="C32" s="732">
        <f>VLOOKUP($A32,Table22[],3,FALSE)</f>
        <v>0</v>
      </c>
      <c r="D32" s="461" t="s">
        <v>1699</v>
      </c>
      <c r="E32" s="447" t="s">
        <v>356</v>
      </c>
      <c r="F32" s="453">
        <v>0</v>
      </c>
      <c r="G32" s="453">
        <v>0</v>
      </c>
    </row>
    <row r="33" spans="1:7" ht="22.05" customHeight="1" x14ac:dyDescent="0.2">
      <c r="A33" s="448" t="s">
        <v>350</v>
      </c>
      <c r="B33" s="464">
        <f>VLOOKUP($A33,Table22[],2,FALSE)</f>
        <v>0</v>
      </c>
      <c r="C33" s="732">
        <f>VLOOKUP($A33,Table22[],3,FALSE)</f>
        <v>0</v>
      </c>
      <c r="D33" s="461" t="s">
        <v>1699</v>
      </c>
      <c r="E33" s="447" t="s">
        <v>359</v>
      </c>
      <c r="F33" s="453">
        <v>0</v>
      </c>
      <c r="G33" s="453">
        <v>0</v>
      </c>
    </row>
    <row r="34" spans="1:7" ht="22.05" customHeight="1" x14ac:dyDescent="0.2">
      <c r="A34" s="448" t="s">
        <v>350</v>
      </c>
      <c r="B34" s="464">
        <f>VLOOKUP($A34,Table22[],2,FALSE)</f>
        <v>0</v>
      </c>
      <c r="C34" s="732">
        <f>VLOOKUP($A34,Table22[],3,FALSE)</f>
        <v>0</v>
      </c>
      <c r="D34" s="461" t="s">
        <v>1699</v>
      </c>
      <c r="E34" s="447" t="s">
        <v>360</v>
      </c>
      <c r="F34" s="453">
        <v>0</v>
      </c>
      <c r="G34" s="453">
        <v>0</v>
      </c>
    </row>
    <row r="35" spans="1:7" ht="22.05" customHeight="1" x14ac:dyDescent="0.2">
      <c r="A35" s="448" t="s">
        <v>351</v>
      </c>
      <c r="B35" s="464">
        <f>VLOOKUP($A35,Table22[],2,FALSE)</f>
        <v>0</v>
      </c>
      <c r="C35" s="732">
        <f>VLOOKUP($A35,Table22[],3,FALSE)</f>
        <v>0</v>
      </c>
      <c r="D35" s="461" t="s">
        <v>1700</v>
      </c>
      <c r="E35" s="447" t="s">
        <v>351</v>
      </c>
      <c r="F35" s="453">
        <f t="shared" ref="F35:G45" si="4">B35</f>
        <v>0</v>
      </c>
      <c r="G35" s="453">
        <f t="shared" si="4"/>
        <v>0</v>
      </c>
    </row>
    <row r="36" spans="1:7" ht="22.05" customHeight="1" x14ac:dyDescent="0.2">
      <c r="A36" s="448" t="s">
        <v>352</v>
      </c>
      <c r="B36" s="464">
        <f>VLOOKUP($A36,Table22[],2,FALSE)</f>
        <v>0</v>
      </c>
      <c r="C36" s="732">
        <f>VLOOKUP($A36,Table22[],3,FALSE)</f>
        <v>0</v>
      </c>
      <c r="D36" s="461" t="s">
        <v>1700</v>
      </c>
      <c r="E36" s="447" t="s">
        <v>352</v>
      </c>
      <c r="F36" s="453">
        <f t="shared" si="4"/>
        <v>0</v>
      </c>
      <c r="G36" s="453">
        <f t="shared" si="4"/>
        <v>0</v>
      </c>
    </row>
    <row r="37" spans="1:7" ht="22.05" customHeight="1" x14ac:dyDescent="0.2">
      <c r="A37" s="448" t="s">
        <v>353</v>
      </c>
      <c r="B37" s="464">
        <f>VLOOKUP($A37,Table22[],2,FALSE)</f>
        <v>0</v>
      </c>
      <c r="C37" s="732">
        <f>VLOOKUP($A37,Table22[],3,FALSE)</f>
        <v>0</v>
      </c>
      <c r="D37" s="461" t="s">
        <v>1700</v>
      </c>
      <c r="E37" s="447" t="s">
        <v>353</v>
      </c>
      <c r="F37" s="453">
        <f t="shared" si="4"/>
        <v>0</v>
      </c>
      <c r="G37" s="453">
        <f t="shared" si="4"/>
        <v>0</v>
      </c>
    </row>
    <row r="38" spans="1:7" ht="22.05" customHeight="1" x14ac:dyDescent="0.2">
      <c r="A38" s="448" t="s">
        <v>354</v>
      </c>
      <c r="B38" s="464">
        <f>VLOOKUP($A38,Table22[],2,FALSE)</f>
        <v>0</v>
      </c>
      <c r="C38" s="732">
        <f>VLOOKUP($A38,Table22[],3,FALSE)</f>
        <v>0</v>
      </c>
      <c r="D38" s="461" t="s">
        <v>1700</v>
      </c>
      <c r="E38" s="447" t="s">
        <v>354</v>
      </c>
      <c r="F38" s="453">
        <f t="shared" si="4"/>
        <v>0</v>
      </c>
      <c r="G38" s="453">
        <f t="shared" si="4"/>
        <v>0</v>
      </c>
    </row>
    <row r="39" spans="1:7" ht="22.05" customHeight="1" x14ac:dyDescent="0.2">
      <c r="A39" s="448" t="s">
        <v>355</v>
      </c>
      <c r="B39" s="464">
        <f>VLOOKUP($A39,Table22[],2,FALSE)</f>
        <v>0</v>
      </c>
      <c r="C39" s="732">
        <f>VLOOKUP($A39,Table22[],3,FALSE)</f>
        <v>0</v>
      </c>
      <c r="D39" s="461" t="s">
        <v>1700</v>
      </c>
      <c r="E39" s="447" t="s">
        <v>355</v>
      </c>
      <c r="F39" s="453">
        <f t="shared" si="4"/>
        <v>0</v>
      </c>
      <c r="G39" s="453">
        <f t="shared" si="4"/>
        <v>0</v>
      </c>
    </row>
    <row r="40" spans="1:7" ht="22.05" customHeight="1" x14ac:dyDescent="0.2">
      <c r="A40" s="448" t="s">
        <v>356</v>
      </c>
      <c r="B40" s="464">
        <f>VLOOKUP($A40,Table22[],2,FALSE)</f>
        <v>0</v>
      </c>
      <c r="C40" s="732">
        <f>VLOOKUP($A40,Table22[],3,FALSE)</f>
        <v>0</v>
      </c>
      <c r="D40" s="461" t="s">
        <v>1700</v>
      </c>
      <c r="E40" s="447" t="s">
        <v>1082</v>
      </c>
      <c r="F40" s="453">
        <f t="shared" si="4"/>
        <v>0</v>
      </c>
      <c r="G40" s="453">
        <f t="shared" si="4"/>
        <v>0</v>
      </c>
    </row>
    <row r="41" spans="1:7" ht="22.05" customHeight="1" x14ac:dyDescent="0.2">
      <c r="A41" s="448" t="s">
        <v>357</v>
      </c>
      <c r="B41" s="464">
        <f>VLOOKUP($A41,Table22[],2,FALSE)</f>
        <v>0</v>
      </c>
      <c r="C41" s="732">
        <f>VLOOKUP($A41,Table22[],3,FALSE)</f>
        <v>0</v>
      </c>
      <c r="D41" s="461" t="s">
        <v>1700</v>
      </c>
      <c r="E41" s="447" t="s">
        <v>361</v>
      </c>
      <c r="F41" s="453">
        <f t="shared" si="4"/>
        <v>0</v>
      </c>
      <c r="G41" s="453">
        <f t="shared" si="4"/>
        <v>0</v>
      </c>
    </row>
    <row r="42" spans="1:7" ht="22.05" customHeight="1" x14ac:dyDescent="0.2">
      <c r="A42" s="448" t="s">
        <v>358</v>
      </c>
      <c r="B42" s="464">
        <f>VLOOKUP($A42,Table22[],2,FALSE)</f>
        <v>0</v>
      </c>
      <c r="C42" s="732">
        <f>VLOOKUP($A42,Table22[],3,FALSE)</f>
        <v>0</v>
      </c>
      <c r="D42" s="461" t="s">
        <v>1700</v>
      </c>
      <c r="E42" s="447" t="s">
        <v>362</v>
      </c>
      <c r="F42" s="453">
        <f t="shared" si="4"/>
        <v>0</v>
      </c>
      <c r="G42" s="453">
        <f t="shared" si="4"/>
        <v>0</v>
      </c>
    </row>
    <row r="43" spans="1:7" ht="22.05" customHeight="1" x14ac:dyDescent="0.2">
      <c r="A43" s="448" t="s">
        <v>359</v>
      </c>
      <c r="B43" s="464">
        <f>VLOOKUP($A43,Table22[],2,FALSE)</f>
        <v>0</v>
      </c>
      <c r="C43" s="732">
        <f>VLOOKUP($A43,Table22[],3,FALSE)</f>
        <v>0</v>
      </c>
      <c r="D43" s="461" t="s">
        <v>1700</v>
      </c>
      <c r="E43" s="447" t="s">
        <v>366</v>
      </c>
      <c r="F43" s="453">
        <f t="shared" si="4"/>
        <v>0</v>
      </c>
      <c r="G43" s="453">
        <f t="shared" si="4"/>
        <v>0</v>
      </c>
    </row>
    <row r="44" spans="1:7" ht="22.05" customHeight="1" x14ac:dyDescent="0.2">
      <c r="A44" s="448" t="s">
        <v>360</v>
      </c>
      <c r="B44" s="464">
        <f>VLOOKUP($A44,Table22[],2,FALSE)</f>
        <v>0</v>
      </c>
      <c r="C44" s="732">
        <f>VLOOKUP($A44,Table22[],3,FALSE)</f>
        <v>0</v>
      </c>
      <c r="D44" s="461" t="s">
        <v>1700</v>
      </c>
      <c r="E44" s="447" t="s">
        <v>368</v>
      </c>
      <c r="F44" s="453">
        <f t="shared" si="4"/>
        <v>0</v>
      </c>
      <c r="G44" s="453">
        <f t="shared" si="4"/>
        <v>0</v>
      </c>
    </row>
    <row r="45" spans="1:7" ht="22.05" customHeight="1" x14ac:dyDescent="0.2">
      <c r="A45" s="448" t="s">
        <v>361</v>
      </c>
      <c r="B45" s="464">
        <f>VLOOKUP($A45,Table22[],2,FALSE)</f>
        <v>0</v>
      </c>
      <c r="C45" s="732">
        <f>VLOOKUP($A45,Table22[],3,FALSE)</f>
        <v>0</v>
      </c>
      <c r="D45" s="461" t="s">
        <v>1700</v>
      </c>
      <c r="E45" s="447" t="s">
        <v>372</v>
      </c>
      <c r="F45" s="453">
        <f t="shared" si="4"/>
        <v>0</v>
      </c>
      <c r="G45" s="453">
        <f t="shared" si="4"/>
        <v>0</v>
      </c>
    </row>
    <row r="46" spans="1:7" ht="22.05" customHeight="1" x14ac:dyDescent="0.2">
      <c r="A46" s="448" t="s">
        <v>362</v>
      </c>
      <c r="B46" s="464">
        <f>VLOOKUP($A46,Table22[],2,FALSE)</f>
        <v>0</v>
      </c>
      <c r="C46" s="732">
        <f>VLOOKUP($A46,Table22[],3,FALSE)</f>
        <v>0</v>
      </c>
      <c r="D46" s="461" t="s">
        <v>1701</v>
      </c>
      <c r="E46" s="447"/>
      <c r="F46" s="754"/>
      <c r="G46" s="754"/>
    </row>
    <row r="47" spans="1:7" ht="22.05" customHeight="1" x14ac:dyDescent="0.2">
      <c r="A47" s="448" t="s">
        <v>363</v>
      </c>
      <c r="B47" s="464">
        <f>VLOOKUP($A47,Table22[],2,FALSE)</f>
        <v>0</v>
      </c>
      <c r="C47" s="732">
        <f>VLOOKUP($A47,Table22[],3,FALSE)</f>
        <v>0</v>
      </c>
      <c r="D47" s="461" t="s">
        <v>1700</v>
      </c>
      <c r="E47" s="447" t="s">
        <v>376</v>
      </c>
      <c r="F47" s="453">
        <f>B47</f>
        <v>0</v>
      </c>
      <c r="G47" s="453">
        <f>C47</f>
        <v>0</v>
      </c>
    </row>
    <row r="48" spans="1:7" ht="22.05" customHeight="1" x14ac:dyDescent="0.2">
      <c r="A48" s="448" t="s">
        <v>364</v>
      </c>
      <c r="B48" s="464">
        <f>VLOOKUP($A48,Table22[],2,FALSE)</f>
        <v>0</v>
      </c>
      <c r="C48" s="732">
        <f>VLOOKUP($A48,Table22[],3,FALSE)</f>
        <v>0</v>
      </c>
      <c r="D48" s="461" t="s">
        <v>1700</v>
      </c>
      <c r="E48" s="447" t="s">
        <v>375</v>
      </c>
      <c r="F48" s="453">
        <f>B48</f>
        <v>0</v>
      </c>
      <c r="G48" s="453">
        <f>C48</f>
        <v>0</v>
      </c>
    </row>
    <row r="49" spans="1:7" ht="22.05" customHeight="1" x14ac:dyDescent="0.2">
      <c r="A49" s="448" t="s">
        <v>365</v>
      </c>
      <c r="B49" s="464">
        <f>VLOOKUP($A49,Table22[],2,FALSE)</f>
        <v>0</v>
      </c>
      <c r="C49" s="732">
        <f>VLOOKUP($A49,Table22[],3,FALSE)</f>
        <v>0</v>
      </c>
      <c r="D49" s="461" t="s">
        <v>1699</v>
      </c>
      <c r="E49" s="447" t="s">
        <v>377</v>
      </c>
      <c r="F49" s="453">
        <v>0</v>
      </c>
      <c r="G49" s="453">
        <v>0</v>
      </c>
    </row>
    <row r="50" spans="1:7" ht="22.05" customHeight="1" x14ac:dyDescent="0.2">
      <c r="A50" s="448" t="s">
        <v>366</v>
      </c>
      <c r="B50" s="464">
        <f>VLOOKUP($A50,Table22[],2,FALSE)</f>
        <v>0</v>
      </c>
      <c r="C50" s="732">
        <f>VLOOKUP($A50,Table22[],3,FALSE)</f>
        <v>0</v>
      </c>
      <c r="D50" s="461" t="s">
        <v>1700</v>
      </c>
      <c r="E50" s="447" t="s">
        <v>373</v>
      </c>
      <c r="F50" s="453">
        <f>B50</f>
        <v>0</v>
      </c>
      <c r="G50" s="453">
        <f>C50</f>
        <v>0</v>
      </c>
    </row>
    <row r="51" spans="1:7" ht="22.05" customHeight="1" x14ac:dyDescent="0.2">
      <c r="A51" s="448" t="s">
        <v>367</v>
      </c>
      <c r="B51" s="464">
        <f>VLOOKUP($A51,Table22[],2,FALSE)</f>
        <v>0</v>
      </c>
      <c r="C51" s="732">
        <f>VLOOKUP($A51,Table22[],3,FALSE)</f>
        <v>0</v>
      </c>
      <c r="D51" s="461" t="s">
        <v>1700</v>
      </c>
      <c r="E51" s="447" t="s">
        <v>374</v>
      </c>
      <c r="F51" s="453">
        <f>B51</f>
        <v>0</v>
      </c>
      <c r="G51" s="453">
        <f>C51</f>
        <v>0</v>
      </c>
    </row>
    <row r="52" spans="1:7" ht="22.05" customHeight="1" x14ac:dyDescent="0.2">
      <c r="A52" s="448" t="s">
        <v>368</v>
      </c>
      <c r="B52" s="464">
        <f>VLOOKUP($A52,Table22[],2,FALSE)</f>
        <v>0</v>
      </c>
      <c r="C52" s="732">
        <f>VLOOKUP($A52,Table22[],3,FALSE)</f>
        <v>0</v>
      </c>
      <c r="D52" s="461" t="s">
        <v>1701</v>
      </c>
      <c r="E52" s="447"/>
      <c r="F52" s="754"/>
      <c r="G52" s="754"/>
    </row>
    <row r="53" spans="1:7" ht="22.05" customHeight="1" x14ac:dyDescent="0.2">
      <c r="A53" s="448" t="s">
        <v>370</v>
      </c>
      <c r="B53" s="464">
        <f>VLOOKUP($A53,Table22[],2,FALSE)</f>
        <v>0</v>
      </c>
      <c r="C53" s="732">
        <f>VLOOKUP($A53,Table22[],3,FALSE)</f>
        <v>0</v>
      </c>
      <c r="D53" s="461" t="s">
        <v>1700</v>
      </c>
      <c r="E53" s="447" t="s">
        <v>1094</v>
      </c>
      <c r="F53" s="453">
        <f t="shared" ref="F53:G57" si="5">B53</f>
        <v>0</v>
      </c>
      <c r="G53" s="453">
        <f t="shared" si="5"/>
        <v>0</v>
      </c>
    </row>
    <row r="54" spans="1:7" ht="22.05" customHeight="1" x14ac:dyDescent="0.2">
      <c r="A54" s="448" t="s">
        <v>372</v>
      </c>
      <c r="B54" s="464">
        <f>VLOOKUP($A54,Table22[],2,FALSE)</f>
        <v>0</v>
      </c>
      <c r="C54" s="732">
        <f>VLOOKUP($A54,Table22[],3,FALSE)</f>
        <v>0</v>
      </c>
      <c r="D54" s="461" t="s">
        <v>1700</v>
      </c>
      <c r="E54" s="447" t="s">
        <v>1095</v>
      </c>
      <c r="F54" s="453">
        <f t="shared" si="5"/>
        <v>0</v>
      </c>
      <c r="G54" s="453">
        <f t="shared" si="5"/>
        <v>0</v>
      </c>
    </row>
    <row r="55" spans="1:7" ht="22.05" customHeight="1" x14ac:dyDescent="0.2">
      <c r="A55" s="448" t="s">
        <v>373</v>
      </c>
      <c r="B55" s="464">
        <f>VLOOKUP($A55,Table22[],2,FALSE)</f>
        <v>0</v>
      </c>
      <c r="C55" s="732">
        <f>VLOOKUP($A55,Table22[],3,FALSE)</f>
        <v>0</v>
      </c>
      <c r="D55" s="461" t="s">
        <v>1700</v>
      </c>
      <c r="E55" s="447" t="s">
        <v>1096</v>
      </c>
      <c r="F55" s="453">
        <f t="shared" si="5"/>
        <v>0</v>
      </c>
      <c r="G55" s="453">
        <f t="shared" si="5"/>
        <v>0</v>
      </c>
    </row>
    <row r="56" spans="1:7" ht="22.05" customHeight="1" x14ac:dyDescent="0.2">
      <c r="A56" s="448" t="s">
        <v>374</v>
      </c>
      <c r="B56" s="464">
        <f>VLOOKUP($A56,Table22[],2,FALSE)</f>
        <v>0</v>
      </c>
      <c r="C56" s="732">
        <f>VLOOKUP($A56,Table22[],3,FALSE)</f>
        <v>0</v>
      </c>
      <c r="D56" s="461" t="s">
        <v>1700</v>
      </c>
      <c r="E56" s="447" t="s">
        <v>1098</v>
      </c>
      <c r="F56" s="453">
        <f t="shared" si="5"/>
        <v>0</v>
      </c>
      <c r="G56" s="453">
        <f t="shared" si="5"/>
        <v>0</v>
      </c>
    </row>
    <row r="57" spans="1:7" ht="22.05" customHeight="1" x14ac:dyDescent="0.2">
      <c r="A57" s="448" t="s">
        <v>375</v>
      </c>
      <c r="B57" s="464">
        <f>VLOOKUP($A57,Table22[],2,FALSE)</f>
        <v>0</v>
      </c>
      <c r="C57" s="732">
        <f>VLOOKUP($A57,Table22[],3,FALSE)</f>
        <v>0</v>
      </c>
      <c r="D57" s="461" t="s">
        <v>1700</v>
      </c>
      <c r="E57" s="447" t="s">
        <v>1099</v>
      </c>
      <c r="F57" s="453">
        <f t="shared" si="5"/>
        <v>0</v>
      </c>
      <c r="G57" s="453">
        <f t="shared" si="5"/>
        <v>0</v>
      </c>
    </row>
    <row r="58" spans="1:7" ht="22.05" customHeight="1" x14ac:dyDescent="0.2">
      <c r="A58" s="448" t="s">
        <v>376</v>
      </c>
      <c r="B58" s="464">
        <f>VLOOKUP($A58,Table22[],2,FALSE)</f>
        <v>0</v>
      </c>
      <c r="C58" s="732">
        <f>VLOOKUP($A58,Table22[],3,FALSE)</f>
        <v>0</v>
      </c>
      <c r="D58" s="461" t="s">
        <v>1699</v>
      </c>
      <c r="E58" s="447" t="s">
        <v>1097</v>
      </c>
      <c r="F58" s="453">
        <v>0</v>
      </c>
      <c r="G58" s="453">
        <v>0</v>
      </c>
    </row>
    <row r="59" spans="1:7" ht="22.05" customHeight="1" x14ac:dyDescent="0.2">
      <c r="A59" s="448" t="s">
        <v>377</v>
      </c>
      <c r="B59" s="464">
        <f>VLOOKUP($A59,Table22[],2,FALSE)</f>
        <v>0</v>
      </c>
      <c r="C59" s="732">
        <f>VLOOKUP($A59,Table22[],3,FALSE)</f>
        <v>0</v>
      </c>
      <c r="D59" s="461" t="s">
        <v>1699</v>
      </c>
      <c r="E59" s="447" t="s">
        <v>1100</v>
      </c>
      <c r="F59" s="453">
        <v>0</v>
      </c>
      <c r="G59" s="453">
        <v>0</v>
      </c>
    </row>
    <row r="60" spans="1:7" ht="22.05" customHeight="1" x14ac:dyDescent="0.2">
      <c r="A60" s="448" t="s">
        <v>378</v>
      </c>
      <c r="B60" s="464">
        <f>VLOOKUP($A60,Table22[],2,FALSE)</f>
        <v>0</v>
      </c>
      <c r="C60" s="732">
        <f>VLOOKUP($A60,Table22[],3,FALSE)</f>
        <v>0</v>
      </c>
      <c r="D60" s="461" t="s">
        <v>1701</v>
      </c>
      <c r="E60" s="447"/>
      <c r="F60" s="754"/>
      <c r="G60" s="754"/>
    </row>
    <row r="61" spans="1:7" ht="22.05" customHeight="1" x14ac:dyDescent="0.2">
      <c r="A61" s="448" t="s">
        <v>89</v>
      </c>
      <c r="B61" s="464">
        <f>VLOOKUP($A61,Table22[],2,FALSE)</f>
        <v>0</v>
      </c>
      <c r="C61" s="732">
        <f>VLOOKUP($A61,Table22[],3,FALSE)</f>
        <v>0</v>
      </c>
      <c r="D61" s="461" t="s">
        <v>1700</v>
      </c>
      <c r="E61" s="447" t="s">
        <v>89</v>
      </c>
      <c r="F61" s="453">
        <f t="shared" ref="F61:G77" si="6">B61</f>
        <v>0</v>
      </c>
      <c r="G61" s="453">
        <f t="shared" si="6"/>
        <v>0</v>
      </c>
    </row>
    <row r="62" spans="1:7" ht="22.05" customHeight="1" x14ac:dyDescent="0.2">
      <c r="A62" s="448" t="s">
        <v>91</v>
      </c>
      <c r="B62" s="464">
        <f>VLOOKUP($A62,Table22[],2,FALSE)</f>
        <v>0</v>
      </c>
      <c r="C62" s="732">
        <f>VLOOKUP($A62,Table22[],3,FALSE)</f>
        <v>0</v>
      </c>
      <c r="D62" s="461" t="s">
        <v>1700</v>
      </c>
      <c r="E62" s="447" t="s">
        <v>92</v>
      </c>
      <c r="F62" s="453">
        <f t="shared" si="6"/>
        <v>0</v>
      </c>
      <c r="G62" s="453">
        <f t="shared" si="6"/>
        <v>0</v>
      </c>
    </row>
    <row r="63" spans="1:7" ht="22.05" customHeight="1" x14ac:dyDescent="0.2">
      <c r="A63" s="448" t="s">
        <v>92</v>
      </c>
      <c r="B63" s="464">
        <f>VLOOKUP($A63,Table22[],2,FALSE)</f>
        <v>0</v>
      </c>
      <c r="C63" s="732">
        <f>VLOOKUP($A63,Table22[],3,FALSE)</f>
        <v>0</v>
      </c>
      <c r="D63" s="461" t="s">
        <v>1700</v>
      </c>
      <c r="E63" s="447" t="s">
        <v>94</v>
      </c>
      <c r="F63" s="453">
        <f t="shared" si="6"/>
        <v>0</v>
      </c>
      <c r="G63" s="453">
        <f t="shared" si="6"/>
        <v>0</v>
      </c>
    </row>
    <row r="64" spans="1:7" ht="22.05" customHeight="1" x14ac:dyDescent="0.2">
      <c r="A64" s="448" t="s">
        <v>94</v>
      </c>
      <c r="B64" s="464">
        <f>VLOOKUP($A64,Table22[],2,FALSE)</f>
        <v>0</v>
      </c>
      <c r="C64" s="732">
        <f>VLOOKUP($A64,Table22[],3,FALSE)</f>
        <v>0</v>
      </c>
      <c r="D64" s="461" t="s">
        <v>1700</v>
      </c>
      <c r="E64" s="447" t="s">
        <v>98</v>
      </c>
      <c r="F64" s="453">
        <f>B64</f>
        <v>0</v>
      </c>
      <c r="G64" s="453">
        <f>C64</f>
        <v>0</v>
      </c>
    </row>
    <row r="65" spans="1:7" ht="22.05" customHeight="1" x14ac:dyDescent="0.2">
      <c r="A65" s="448" t="s">
        <v>96</v>
      </c>
      <c r="B65" s="464">
        <f>VLOOKUP($A65,Table22[],2,FALSE)</f>
        <v>0</v>
      </c>
      <c r="C65" s="732">
        <f>VLOOKUP($A65,Table22[],3,FALSE)</f>
        <v>0</v>
      </c>
      <c r="D65" s="461" t="s">
        <v>1700</v>
      </c>
      <c r="E65" s="447" t="s">
        <v>1025</v>
      </c>
      <c r="F65" s="453">
        <f t="shared" si="6"/>
        <v>0</v>
      </c>
      <c r="G65" s="453">
        <f t="shared" si="6"/>
        <v>0</v>
      </c>
    </row>
    <row r="66" spans="1:7" ht="22.05" customHeight="1" x14ac:dyDescent="0.2">
      <c r="A66" s="448" t="s">
        <v>98</v>
      </c>
      <c r="B66" s="464">
        <f>VLOOKUP($A66,Table22[],2,FALSE)</f>
        <v>0</v>
      </c>
      <c r="C66" s="732">
        <f>VLOOKUP($A66,Table22[],3,FALSE)</f>
        <v>0</v>
      </c>
      <c r="D66" s="461" t="s">
        <v>1700</v>
      </c>
      <c r="E66" s="447" t="s">
        <v>1026</v>
      </c>
      <c r="F66" s="453">
        <f t="shared" si="6"/>
        <v>0</v>
      </c>
      <c r="G66" s="453">
        <f t="shared" si="6"/>
        <v>0</v>
      </c>
    </row>
    <row r="67" spans="1:7" ht="22.05" customHeight="1" x14ac:dyDescent="0.2">
      <c r="A67" s="448" t="s">
        <v>100</v>
      </c>
      <c r="B67" s="464">
        <f>VLOOKUP($A67,Table22[],2,FALSE)</f>
        <v>0</v>
      </c>
      <c r="C67" s="732">
        <f>VLOOKUP($A67,Table22[],3,FALSE)</f>
        <v>0</v>
      </c>
      <c r="D67" s="461" t="s">
        <v>1700</v>
      </c>
      <c r="E67" s="447" t="s">
        <v>100</v>
      </c>
      <c r="F67" s="453">
        <f t="shared" si="6"/>
        <v>0</v>
      </c>
      <c r="G67" s="453">
        <f t="shared" si="6"/>
        <v>0</v>
      </c>
    </row>
    <row r="68" spans="1:7" ht="22.05" customHeight="1" x14ac:dyDescent="0.2">
      <c r="A68" s="448" t="s">
        <v>101</v>
      </c>
      <c r="B68" s="464">
        <f>VLOOKUP($A68,Table22[],2,FALSE)</f>
        <v>0</v>
      </c>
      <c r="C68" s="732">
        <f>VLOOKUP($A68,Table22[],3,FALSE)</f>
        <v>0</v>
      </c>
      <c r="D68" s="461" t="s">
        <v>1700</v>
      </c>
      <c r="E68" s="447" t="s">
        <v>103</v>
      </c>
      <c r="F68" s="453">
        <f t="shared" si="6"/>
        <v>0</v>
      </c>
      <c r="G68" s="453">
        <f t="shared" si="6"/>
        <v>0</v>
      </c>
    </row>
    <row r="69" spans="1:7" ht="22.05" customHeight="1" x14ac:dyDescent="0.2">
      <c r="A69" s="448" t="s">
        <v>103</v>
      </c>
      <c r="B69" s="464">
        <f>VLOOKUP($A69,Table22[],2,FALSE)</f>
        <v>0</v>
      </c>
      <c r="C69" s="732">
        <f>VLOOKUP($A69,Table22[],3,FALSE)</f>
        <v>0</v>
      </c>
      <c r="D69" s="461" t="s">
        <v>1700</v>
      </c>
      <c r="E69" s="447" t="s">
        <v>105</v>
      </c>
      <c r="F69" s="453">
        <f t="shared" si="6"/>
        <v>0</v>
      </c>
      <c r="G69" s="453">
        <f t="shared" si="6"/>
        <v>0</v>
      </c>
    </row>
    <row r="70" spans="1:7" ht="22.05" customHeight="1" x14ac:dyDescent="0.2">
      <c r="A70" s="448" t="s">
        <v>105</v>
      </c>
      <c r="B70" s="464">
        <f>VLOOKUP($A70,Table22[],2,FALSE)</f>
        <v>0</v>
      </c>
      <c r="C70" s="732">
        <f>VLOOKUP($A70,Table22[],3,FALSE)</f>
        <v>0</v>
      </c>
      <c r="D70" s="461" t="s">
        <v>1700</v>
      </c>
      <c r="E70" s="447" t="s">
        <v>108</v>
      </c>
      <c r="F70" s="453">
        <f t="shared" si="6"/>
        <v>0</v>
      </c>
      <c r="G70" s="453">
        <f t="shared" si="6"/>
        <v>0</v>
      </c>
    </row>
    <row r="71" spans="1:7" ht="22.05" customHeight="1" x14ac:dyDescent="0.2">
      <c r="A71" s="448" t="s">
        <v>107</v>
      </c>
      <c r="B71" s="464">
        <f>VLOOKUP($A71,Table22[],2,FALSE)</f>
        <v>0</v>
      </c>
      <c r="C71" s="732">
        <f>VLOOKUP($A71,Table22[],3,FALSE)</f>
        <v>0</v>
      </c>
      <c r="D71" s="461" t="s">
        <v>1700</v>
      </c>
      <c r="E71" s="447" t="s">
        <v>1028</v>
      </c>
      <c r="F71" s="453">
        <f t="shared" si="6"/>
        <v>0</v>
      </c>
      <c r="G71" s="453">
        <f t="shared" si="6"/>
        <v>0</v>
      </c>
    </row>
    <row r="72" spans="1:7" ht="22.05" customHeight="1" x14ac:dyDescent="0.2">
      <c r="A72" s="448" t="s">
        <v>108</v>
      </c>
      <c r="B72" s="464">
        <f>VLOOKUP($A72,Table22[],2,FALSE)</f>
        <v>0</v>
      </c>
      <c r="C72" s="732">
        <f>VLOOKUP($A72,Table22[],3,FALSE)</f>
        <v>0</v>
      </c>
      <c r="D72" s="461" t="s">
        <v>1700</v>
      </c>
      <c r="E72" s="447" t="s">
        <v>1029</v>
      </c>
      <c r="F72" s="453">
        <f t="shared" si="6"/>
        <v>0</v>
      </c>
      <c r="G72" s="453">
        <f t="shared" si="6"/>
        <v>0</v>
      </c>
    </row>
    <row r="73" spans="1:7" ht="22.05" customHeight="1" x14ac:dyDescent="0.2">
      <c r="A73" s="448" t="s">
        <v>111</v>
      </c>
      <c r="B73" s="464">
        <f>VLOOKUP($A73,Table22[],2,FALSE)</f>
        <v>0</v>
      </c>
      <c r="C73" s="732">
        <f>VLOOKUP($A73,Table22[],3,FALSE)</f>
        <v>0</v>
      </c>
      <c r="D73" s="461" t="s">
        <v>1700</v>
      </c>
      <c r="E73" s="447" t="s">
        <v>111</v>
      </c>
      <c r="F73" s="453">
        <f t="shared" si="6"/>
        <v>0</v>
      </c>
      <c r="G73" s="453">
        <f t="shared" si="6"/>
        <v>0</v>
      </c>
    </row>
    <row r="74" spans="1:7" ht="22.05" customHeight="1" x14ac:dyDescent="0.2">
      <c r="A74" s="448" t="s">
        <v>113</v>
      </c>
      <c r="B74" s="464">
        <f>VLOOKUP($A74,Table22[],2,FALSE)</f>
        <v>0</v>
      </c>
      <c r="C74" s="732">
        <f>VLOOKUP($A74,Table22[],3,FALSE)</f>
        <v>0</v>
      </c>
      <c r="D74" s="461" t="s">
        <v>1700</v>
      </c>
      <c r="E74" s="447" t="s">
        <v>113</v>
      </c>
      <c r="F74" s="453">
        <f t="shared" si="6"/>
        <v>0</v>
      </c>
      <c r="G74" s="453">
        <f t="shared" si="6"/>
        <v>0</v>
      </c>
    </row>
    <row r="75" spans="1:7" ht="22.05" customHeight="1" x14ac:dyDescent="0.2">
      <c r="A75" s="448" t="s">
        <v>115</v>
      </c>
      <c r="B75" s="464">
        <f>VLOOKUP($A75,Table22[],2,FALSE)</f>
        <v>0</v>
      </c>
      <c r="C75" s="732">
        <f>VLOOKUP($A75,Table22[],3,FALSE)</f>
        <v>0</v>
      </c>
      <c r="D75" s="461" t="s">
        <v>1700</v>
      </c>
      <c r="E75" s="447" t="s">
        <v>115</v>
      </c>
      <c r="F75" s="453">
        <f t="shared" si="6"/>
        <v>0</v>
      </c>
      <c r="G75" s="453">
        <f t="shared" si="6"/>
        <v>0</v>
      </c>
    </row>
    <row r="76" spans="1:7" ht="22.05" customHeight="1" x14ac:dyDescent="0.2">
      <c r="A76" s="448" t="s">
        <v>117</v>
      </c>
      <c r="B76" s="464">
        <f>VLOOKUP($A76,Table22[],2,FALSE)</f>
        <v>0</v>
      </c>
      <c r="C76" s="732">
        <f>VLOOKUP($A76,Table22[],3,FALSE)</f>
        <v>0</v>
      </c>
      <c r="D76" s="461" t="s">
        <v>1700</v>
      </c>
      <c r="E76" s="447" t="s">
        <v>119</v>
      </c>
      <c r="F76" s="453">
        <f t="shared" si="6"/>
        <v>0</v>
      </c>
      <c r="G76" s="453">
        <f t="shared" si="6"/>
        <v>0</v>
      </c>
    </row>
    <row r="77" spans="1:7" ht="22.05" customHeight="1" x14ac:dyDescent="0.2">
      <c r="A77" s="448" t="s">
        <v>119</v>
      </c>
      <c r="B77" s="464">
        <f>VLOOKUP($A77,Table22[],2,FALSE)</f>
        <v>0</v>
      </c>
      <c r="C77" s="732">
        <f>VLOOKUP($A77,Table22[],3,FALSE)</f>
        <v>0</v>
      </c>
      <c r="D77" s="461" t="s">
        <v>1700</v>
      </c>
      <c r="E77" s="447" t="s">
        <v>120</v>
      </c>
      <c r="F77" s="453">
        <f t="shared" si="6"/>
        <v>0</v>
      </c>
      <c r="G77" s="453">
        <f t="shared" si="6"/>
        <v>0</v>
      </c>
    </row>
    <row r="78" spans="1:7" ht="22.05" customHeight="1" x14ac:dyDescent="0.2">
      <c r="A78" s="448" t="s">
        <v>120</v>
      </c>
      <c r="B78" s="464">
        <f>VLOOKUP($A78,Table22[],2,FALSE)</f>
        <v>0</v>
      </c>
      <c r="C78" s="732">
        <f>VLOOKUP($A78,Table22[],3,FALSE)</f>
        <v>0</v>
      </c>
      <c r="D78" s="461" t="s">
        <v>1699</v>
      </c>
      <c r="E78" s="447" t="s">
        <v>117</v>
      </c>
      <c r="F78" s="453">
        <v>0</v>
      </c>
      <c r="G78" s="453">
        <v>0</v>
      </c>
    </row>
    <row r="79" spans="1:7" ht="22.05" customHeight="1" x14ac:dyDescent="0.2">
      <c r="A79" s="448" t="s">
        <v>122</v>
      </c>
      <c r="B79" s="464">
        <f>VLOOKUP($A79,Table22[],2,FALSE)</f>
        <v>0</v>
      </c>
      <c r="C79" s="732">
        <f>VLOOKUP($A79,Table22[],3,FALSE)</f>
        <v>0</v>
      </c>
      <c r="D79" s="461" t="s">
        <v>1700</v>
      </c>
      <c r="E79" s="447" t="s">
        <v>122</v>
      </c>
      <c r="F79" s="453">
        <f t="shared" ref="F79:G88" si="7">B79</f>
        <v>0</v>
      </c>
      <c r="G79" s="453">
        <f t="shared" si="7"/>
        <v>0</v>
      </c>
    </row>
    <row r="80" spans="1:7" ht="22.05" customHeight="1" x14ac:dyDescent="0.2">
      <c r="A80" s="448" t="s">
        <v>125</v>
      </c>
      <c r="B80" s="464">
        <f>VLOOKUP($A80,Table22[],2,FALSE)</f>
        <v>0</v>
      </c>
      <c r="C80" s="732">
        <f>VLOOKUP($A80,Table22[],3,FALSE)</f>
        <v>0</v>
      </c>
      <c r="D80" s="461" t="s">
        <v>1700</v>
      </c>
      <c r="E80" s="447" t="s">
        <v>125</v>
      </c>
      <c r="F80" s="453">
        <f t="shared" si="7"/>
        <v>0</v>
      </c>
      <c r="G80" s="453">
        <f t="shared" si="7"/>
        <v>0</v>
      </c>
    </row>
    <row r="81" spans="1:7" ht="22.05" customHeight="1" x14ac:dyDescent="0.2">
      <c r="A81" s="448" t="s">
        <v>128</v>
      </c>
      <c r="B81" s="464">
        <f>VLOOKUP($A81,Table22[],2,FALSE)</f>
        <v>0</v>
      </c>
      <c r="C81" s="732">
        <f>VLOOKUP($A81,Table22[],3,FALSE)</f>
        <v>0</v>
      </c>
      <c r="D81" s="461" t="s">
        <v>1700</v>
      </c>
      <c r="E81" s="447" t="s">
        <v>128</v>
      </c>
      <c r="F81" s="453">
        <f t="shared" si="7"/>
        <v>0</v>
      </c>
      <c r="G81" s="453">
        <f t="shared" si="7"/>
        <v>0</v>
      </c>
    </row>
    <row r="82" spans="1:7" ht="22.05" customHeight="1" x14ac:dyDescent="0.2">
      <c r="A82" s="448" t="s">
        <v>131</v>
      </c>
      <c r="B82" s="464">
        <f>VLOOKUP($A82,Table22[],2,FALSE)</f>
        <v>0</v>
      </c>
      <c r="C82" s="732">
        <f>VLOOKUP($A82,Table22[],3,FALSE)</f>
        <v>0</v>
      </c>
      <c r="D82" s="461" t="s">
        <v>1700</v>
      </c>
      <c r="E82" s="447" t="s">
        <v>131</v>
      </c>
      <c r="F82" s="453">
        <f t="shared" si="7"/>
        <v>0</v>
      </c>
      <c r="G82" s="453">
        <f t="shared" si="7"/>
        <v>0</v>
      </c>
    </row>
    <row r="83" spans="1:7" ht="22.05" customHeight="1" x14ac:dyDescent="0.2">
      <c r="A83" s="448" t="s">
        <v>134</v>
      </c>
      <c r="B83" s="464">
        <f>VLOOKUP($A83,Table22[],2,FALSE)</f>
        <v>0</v>
      </c>
      <c r="C83" s="732">
        <f>VLOOKUP($A83,Table22[],3,FALSE)</f>
        <v>0</v>
      </c>
      <c r="D83" s="461" t="s">
        <v>1700</v>
      </c>
      <c r="E83" s="447" t="s">
        <v>134</v>
      </c>
      <c r="F83" s="453">
        <f t="shared" si="7"/>
        <v>0</v>
      </c>
      <c r="G83" s="453">
        <f t="shared" si="7"/>
        <v>0</v>
      </c>
    </row>
    <row r="84" spans="1:7" ht="22.05" customHeight="1" x14ac:dyDescent="0.2">
      <c r="A84" s="448" t="s">
        <v>136</v>
      </c>
      <c r="B84" s="464">
        <f>VLOOKUP($A84,Table22[],2,FALSE)</f>
        <v>0</v>
      </c>
      <c r="C84" s="732">
        <f>VLOOKUP($A84,Table22[],3,FALSE)</f>
        <v>0</v>
      </c>
      <c r="D84" s="461" t="s">
        <v>1700</v>
      </c>
      <c r="E84" s="447" t="s">
        <v>136</v>
      </c>
      <c r="F84" s="453">
        <f t="shared" si="7"/>
        <v>0</v>
      </c>
      <c r="G84" s="453">
        <f t="shared" si="7"/>
        <v>0</v>
      </c>
    </row>
    <row r="85" spans="1:7" ht="22.05" customHeight="1" x14ac:dyDescent="0.2">
      <c r="A85" s="448" t="s">
        <v>139</v>
      </c>
      <c r="B85" s="464">
        <f>VLOOKUP($A85,Table22[],2,FALSE)</f>
        <v>0</v>
      </c>
      <c r="C85" s="732">
        <f>VLOOKUP($A85,Table22[],3,FALSE)</f>
        <v>0</v>
      </c>
      <c r="D85" s="461" t="s">
        <v>1700</v>
      </c>
      <c r="E85" s="447" t="s">
        <v>139</v>
      </c>
      <c r="F85" s="453">
        <f t="shared" si="7"/>
        <v>0</v>
      </c>
      <c r="G85" s="453">
        <f t="shared" si="7"/>
        <v>0</v>
      </c>
    </row>
    <row r="86" spans="1:7" ht="22.05" customHeight="1" x14ac:dyDescent="0.2">
      <c r="A86" s="448" t="s">
        <v>142</v>
      </c>
      <c r="B86" s="464">
        <f>VLOOKUP($A86,Table22[],2,FALSE)</f>
        <v>0</v>
      </c>
      <c r="C86" s="732">
        <f>VLOOKUP($A86,Table22[],3,FALSE)</f>
        <v>0</v>
      </c>
      <c r="D86" s="461" t="s">
        <v>1700</v>
      </c>
      <c r="E86" s="447" t="s">
        <v>142</v>
      </c>
      <c r="F86" s="453">
        <f t="shared" si="7"/>
        <v>0</v>
      </c>
      <c r="G86" s="453">
        <f t="shared" si="7"/>
        <v>0</v>
      </c>
    </row>
    <row r="87" spans="1:7" ht="22.05" customHeight="1" x14ac:dyDescent="0.2">
      <c r="A87" s="448" t="s">
        <v>145</v>
      </c>
      <c r="B87" s="464">
        <f>VLOOKUP($A87,Table22[],2,FALSE)</f>
        <v>0</v>
      </c>
      <c r="C87" s="732">
        <f>VLOOKUP($A87,Table22[],3,FALSE)</f>
        <v>0</v>
      </c>
      <c r="D87" s="461" t="s">
        <v>1700</v>
      </c>
      <c r="E87" s="447" t="s">
        <v>148</v>
      </c>
      <c r="F87" s="453">
        <f t="shared" si="7"/>
        <v>0</v>
      </c>
      <c r="G87" s="453">
        <f t="shared" si="7"/>
        <v>0</v>
      </c>
    </row>
    <row r="88" spans="1:7" ht="22.05" customHeight="1" x14ac:dyDescent="0.2">
      <c r="A88" s="448" t="s">
        <v>148</v>
      </c>
      <c r="B88" s="464">
        <f>VLOOKUP($A88,Table22[],2,FALSE)</f>
        <v>0</v>
      </c>
      <c r="C88" s="732">
        <f>VLOOKUP($A88,Table22[],3,FALSE)</f>
        <v>0</v>
      </c>
      <c r="D88" s="461" t="s">
        <v>1700</v>
      </c>
      <c r="E88" s="447" t="s">
        <v>150</v>
      </c>
      <c r="F88" s="453">
        <f t="shared" si="7"/>
        <v>0</v>
      </c>
      <c r="G88" s="453">
        <f t="shared" si="7"/>
        <v>0</v>
      </c>
    </row>
    <row r="89" spans="1:7" ht="22.05" customHeight="1" x14ac:dyDescent="0.2">
      <c r="A89" s="448" t="s">
        <v>150</v>
      </c>
      <c r="B89" s="464">
        <f>VLOOKUP($A89,Table22[],2,FALSE)</f>
        <v>0</v>
      </c>
      <c r="C89" s="732">
        <f>VLOOKUP($A89,Table22[],3,FALSE)</f>
        <v>0</v>
      </c>
      <c r="D89" s="461" t="s">
        <v>1699</v>
      </c>
      <c r="E89" s="447" t="s">
        <v>145</v>
      </c>
      <c r="F89" s="453">
        <v>0</v>
      </c>
      <c r="G89" s="453">
        <v>0</v>
      </c>
    </row>
    <row r="90" spans="1:7" ht="22.05" customHeight="1" x14ac:dyDescent="0.2">
      <c r="A90" s="448" t="s">
        <v>152</v>
      </c>
      <c r="B90" s="464">
        <f>VLOOKUP($A90,Table22[],2,FALSE)</f>
        <v>0</v>
      </c>
      <c r="C90" s="732">
        <f>VLOOKUP($A90,Table22[],3,FALSE)</f>
        <v>0</v>
      </c>
      <c r="D90" s="461" t="s">
        <v>1699</v>
      </c>
      <c r="E90" s="447" t="s">
        <v>152</v>
      </c>
      <c r="F90" s="453">
        <v>0</v>
      </c>
      <c r="G90" s="453">
        <v>0</v>
      </c>
    </row>
    <row r="91" spans="1:7" ht="22.05" customHeight="1" x14ac:dyDescent="0.2">
      <c r="A91" s="448" t="s">
        <v>155</v>
      </c>
      <c r="B91" s="464">
        <f>VLOOKUP($A91,Table22[],2,FALSE)</f>
        <v>0</v>
      </c>
      <c r="C91" s="732">
        <f>VLOOKUP($A91,Table22[],3,FALSE)</f>
        <v>0</v>
      </c>
      <c r="D91" s="461" t="s">
        <v>1701</v>
      </c>
      <c r="E91" s="447"/>
      <c r="F91" s="754"/>
      <c r="G91" s="754"/>
    </row>
    <row r="92" spans="1:7" ht="22.05" customHeight="1" x14ac:dyDescent="0.2">
      <c r="A92" s="448" t="s">
        <v>419</v>
      </c>
      <c r="B92" s="464">
        <f>VLOOKUP($A92,Table22[],2,FALSE)</f>
        <v>0</v>
      </c>
      <c r="C92" s="732">
        <f>VLOOKUP($A92,Table22[],3,FALSE)</f>
        <v>0</v>
      </c>
      <c r="D92" s="461" t="s">
        <v>1700</v>
      </c>
      <c r="E92" s="448" t="s">
        <v>419</v>
      </c>
      <c r="F92" s="453">
        <f t="shared" ref="F92:G119" si="8">B92</f>
        <v>0</v>
      </c>
      <c r="G92" s="453">
        <f t="shared" si="8"/>
        <v>0</v>
      </c>
    </row>
    <row r="93" spans="1:7" ht="22.05" customHeight="1" x14ac:dyDescent="0.2">
      <c r="A93" s="448" t="s">
        <v>420</v>
      </c>
      <c r="B93" s="464">
        <f>VLOOKUP($A93,Table22[],2,FALSE)</f>
        <v>0</v>
      </c>
      <c r="C93" s="732">
        <f>VLOOKUP($A93,Table22[],3,FALSE)</f>
        <v>0</v>
      </c>
      <c r="D93" s="461" t="s">
        <v>1700</v>
      </c>
      <c r="E93" s="448" t="s">
        <v>420</v>
      </c>
      <c r="F93" s="453">
        <f t="shared" si="8"/>
        <v>0</v>
      </c>
      <c r="G93" s="453">
        <f t="shared" si="8"/>
        <v>0</v>
      </c>
    </row>
    <row r="94" spans="1:7" ht="22.05" customHeight="1" x14ac:dyDescent="0.2">
      <c r="A94" s="448" t="s">
        <v>421</v>
      </c>
      <c r="B94" s="464">
        <f>VLOOKUP($A94,Table22[],2,FALSE)</f>
        <v>0</v>
      </c>
      <c r="C94" s="732">
        <f>VLOOKUP($A94,Table22[],3,FALSE)</f>
        <v>0</v>
      </c>
      <c r="D94" s="461" t="s">
        <v>1700</v>
      </c>
      <c r="E94" s="448" t="s">
        <v>421</v>
      </c>
      <c r="F94" s="453">
        <f t="shared" si="8"/>
        <v>0</v>
      </c>
      <c r="G94" s="453">
        <f t="shared" si="8"/>
        <v>0</v>
      </c>
    </row>
    <row r="95" spans="1:7" ht="22.05" customHeight="1" x14ac:dyDescent="0.2">
      <c r="A95" s="448" t="s">
        <v>422</v>
      </c>
      <c r="B95" s="464">
        <f>VLOOKUP($A95,Table22[],2,FALSE)</f>
        <v>0</v>
      </c>
      <c r="C95" s="732">
        <f>VLOOKUP($A95,Table22[],3,FALSE)</f>
        <v>0</v>
      </c>
      <c r="D95" s="461" t="s">
        <v>1700</v>
      </c>
      <c r="E95" s="448" t="s">
        <v>422</v>
      </c>
      <c r="F95" s="453">
        <f t="shared" si="8"/>
        <v>0</v>
      </c>
      <c r="G95" s="453">
        <f t="shared" si="8"/>
        <v>0</v>
      </c>
    </row>
    <row r="96" spans="1:7" ht="22.05" customHeight="1" x14ac:dyDescent="0.2">
      <c r="A96" s="448" t="s">
        <v>423</v>
      </c>
      <c r="B96" s="464">
        <f>VLOOKUP($A96,Table22[],2,FALSE)</f>
        <v>0</v>
      </c>
      <c r="C96" s="732">
        <f>VLOOKUP($A96,Table22[],3,FALSE)</f>
        <v>0</v>
      </c>
      <c r="D96" s="461" t="s">
        <v>1700</v>
      </c>
      <c r="E96" s="448" t="s">
        <v>423</v>
      </c>
      <c r="F96" s="453">
        <f t="shared" si="8"/>
        <v>0</v>
      </c>
      <c r="G96" s="453">
        <f t="shared" si="8"/>
        <v>0</v>
      </c>
    </row>
    <row r="97" spans="1:7" ht="22.05" customHeight="1" x14ac:dyDescent="0.2">
      <c r="A97" s="448" t="s">
        <v>424</v>
      </c>
      <c r="B97" s="464">
        <f>VLOOKUP($A97,Table22[],2,FALSE)</f>
        <v>0</v>
      </c>
      <c r="C97" s="732">
        <f>VLOOKUP($A97,Table22[],3,FALSE)</f>
        <v>0</v>
      </c>
      <c r="D97" s="461" t="s">
        <v>1700</v>
      </c>
      <c r="E97" s="448" t="s">
        <v>424</v>
      </c>
      <c r="F97" s="453">
        <f t="shared" si="8"/>
        <v>0</v>
      </c>
      <c r="G97" s="453">
        <f t="shared" si="8"/>
        <v>0</v>
      </c>
    </row>
    <row r="98" spans="1:7" ht="22.05" customHeight="1" x14ac:dyDescent="0.2">
      <c r="A98" s="448" t="s">
        <v>425</v>
      </c>
      <c r="B98" s="464">
        <f>VLOOKUP($A98,Table22[],2,FALSE)</f>
        <v>0</v>
      </c>
      <c r="C98" s="732">
        <f>VLOOKUP($A98,Table22[],3,FALSE)</f>
        <v>0</v>
      </c>
      <c r="D98" s="461" t="s">
        <v>1700</v>
      </c>
      <c r="E98" s="448" t="s">
        <v>425</v>
      </c>
      <c r="F98" s="453">
        <f t="shared" si="8"/>
        <v>0</v>
      </c>
      <c r="G98" s="453">
        <f t="shared" si="8"/>
        <v>0</v>
      </c>
    </row>
    <row r="99" spans="1:7" ht="22.05" customHeight="1" x14ac:dyDescent="0.2">
      <c r="A99" s="448" t="s">
        <v>426</v>
      </c>
      <c r="B99" s="464">
        <f>VLOOKUP($A99,Table22[],2,FALSE)</f>
        <v>0</v>
      </c>
      <c r="C99" s="732">
        <f>VLOOKUP($A99,Table22[],3,FALSE)</f>
        <v>0</v>
      </c>
      <c r="D99" s="461" t="s">
        <v>1700</v>
      </c>
      <c r="E99" s="448" t="s">
        <v>426</v>
      </c>
      <c r="F99" s="453">
        <f t="shared" si="8"/>
        <v>0</v>
      </c>
      <c r="G99" s="453">
        <f t="shared" si="8"/>
        <v>0</v>
      </c>
    </row>
    <row r="100" spans="1:7" ht="22.05" customHeight="1" x14ac:dyDescent="0.2">
      <c r="A100" s="448" t="s">
        <v>427</v>
      </c>
      <c r="B100" s="464">
        <f>VLOOKUP($A100,Table22[],2,FALSE)</f>
        <v>0</v>
      </c>
      <c r="C100" s="732">
        <f>VLOOKUP($A100,Table22[],3,FALSE)</f>
        <v>0</v>
      </c>
      <c r="D100" s="461" t="s">
        <v>1700</v>
      </c>
      <c r="E100" s="448" t="s">
        <v>427</v>
      </c>
      <c r="F100" s="453">
        <f t="shared" si="8"/>
        <v>0</v>
      </c>
      <c r="G100" s="453">
        <f t="shared" si="8"/>
        <v>0</v>
      </c>
    </row>
    <row r="101" spans="1:7" ht="22.05" customHeight="1" x14ac:dyDescent="0.2">
      <c r="A101" s="448" t="s">
        <v>428</v>
      </c>
      <c r="B101" s="464">
        <f>VLOOKUP($A101,Table22[],2,FALSE)</f>
        <v>0</v>
      </c>
      <c r="C101" s="732">
        <f>VLOOKUP($A101,Table22[],3,FALSE)</f>
        <v>0</v>
      </c>
      <c r="D101" s="461" t="s">
        <v>1700</v>
      </c>
      <c r="E101" s="448" t="s">
        <v>428</v>
      </c>
      <c r="F101" s="453">
        <f t="shared" si="8"/>
        <v>0</v>
      </c>
      <c r="G101" s="453">
        <f t="shared" si="8"/>
        <v>0</v>
      </c>
    </row>
    <row r="102" spans="1:7" ht="22.05" customHeight="1" x14ac:dyDescent="0.2">
      <c r="A102" s="448" t="s">
        <v>429</v>
      </c>
      <c r="B102" s="464">
        <f>VLOOKUP($A102,Table22[],2,FALSE)</f>
        <v>0</v>
      </c>
      <c r="C102" s="732">
        <f>VLOOKUP($A102,Table22[],3,FALSE)</f>
        <v>0</v>
      </c>
      <c r="D102" s="461" t="s">
        <v>1700</v>
      </c>
      <c r="E102" s="448" t="s">
        <v>429</v>
      </c>
      <c r="F102" s="453">
        <f t="shared" si="8"/>
        <v>0</v>
      </c>
      <c r="G102" s="453">
        <f t="shared" si="8"/>
        <v>0</v>
      </c>
    </row>
    <row r="103" spans="1:7" ht="22.05" customHeight="1" x14ac:dyDescent="0.2">
      <c r="A103" s="448" t="s">
        <v>430</v>
      </c>
      <c r="B103" s="464">
        <f>VLOOKUP($A103,Table22[],2,FALSE)</f>
        <v>0</v>
      </c>
      <c r="C103" s="732">
        <f>VLOOKUP($A103,Table22[],3,FALSE)</f>
        <v>0</v>
      </c>
      <c r="D103" s="461" t="s">
        <v>1700</v>
      </c>
      <c r="E103" s="448" t="s">
        <v>430</v>
      </c>
      <c r="F103" s="453">
        <f t="shared" si="8"/>
        <v>0</v>
      </c>
      <c r="G103" s="453">
        <f t="shared" si="8"/>
        <v>0</v>
      </c>
    </row>
    <row r="104" spans="1:7" ht="22.05" customHeight="1" x14ac:dyDescent="0.2">
      <c r="A104" s="448" t="s">
        <v>431</v>
      </c>
      <c r="B104" s="464">
        <f>VLOOKUP($A104,Table22[],2,FALSE)</f>
        <v>0</v>
      </c>
      <c r="C104" s="732">
        <f>VLOOKUP($A104,Table22[],3,FALSE)</f>
        <v>0</v>
      </c>
      <c r="D104" s="461" t="s">
        <v>1700</v>
      </c>
      <c r="E104" s="448" t="s">
        <v>431</v>
      </c>
      <c r="F104" s="453">
        <f t="shared" si="8"/>
        <v>0</v>
      </c>
      <c r="G104" s="453">
        <f t="shared" si="8"/>
        <v>0</v>
      </c>
    </row>
    <row r="105" spans="1:7" ht="22.05" customHeight="1" x14ac:dyDescent="0.2">
      <c r="A105" s="448" t="s">
        <v>432</v>
      </c>
      <c r="B105" s="464">
        <f>VLOOKUP($A105,Table22[],2,FALSE)</f>
        <v>0</v>
      </c>
      <c r="C105" s="732">
        <f>VLOOKUP($A105,Table22[],3,FALSE)</f>
        <v>0</v>
      </c>
      <c r="D105" s="461" t="s">
        <v>1700</v>
      </c>
      <c r="E105" s="448" t="s">
        <v>432</v>
      </c>
      <c r="F105" s="453">
        <f t="shared" si="8"/>
        <v>0</v>
      </c>
      <c r="G105" s="453">
        <f t="shared" si="8"/>
        <v>0</v>
      </c>
    </row>
    <row r="106" spans="1:7" ht="22.05" customHeight="1" x14ac:dyDescent="0.2">
      <c r="A106" s="448" t="s">
        <v>433</v>
      </c>
      <c r="B106" s="464">
        <f>VLOOKUP($A106,Table22[],2,FALSE)</f>
        <v>0</v>
      </c>
      <c r="C106" s="732">
        <f>VLOOKUP($A106,Table22[],3,FALSE)</f>
        <v>0</v>
      </c>
      <c r="D106" s="461" t="s">
        <v>1700</v>
      </c>
      <c r="E106" s="448" t="s">
        <v>433</v>
      </c>
      <c r="F106" s="453">
        <f t="shared" si="8"/>
        <v>0</v>
      </c>
      <c r="G106" s="453">
        <f t="shared" si="8"/>
        <v>0</v>
      </c>
    </row>
    <row r="107" spans="1:7" ht="22.05" customHeight="1" x14ac:dyDescent="0.2">
      <c r="A107" s="448" t="s">
        <v>434</v>
      </c>
      <c r="B107" s="464">
        <f>VLOOKUP($A107,Table22[],2,FALSE)</f>
        <v>0</v>
      </c>
      <c r="C107" s="732">
        <f>VLOOKUP($A107,Table22[],3,FALSE)</f>
        <v>0</v>
      </c>
      <c r="D107" s="461" t="s">
        <v>1700</v>
      </c>
      <c r="E107" s="448" t="s">
        <v>434</v>
      </c>
      <c r="F107" s="453">
        <f t="shared" si="8"/>
        <v>0</v>
      </c>
      <c r="G107" s="453">
        <f t="shared" si="8"/>
        <v>0</v>
      </c>
    </row>
    <row r="108" spans="1:7" ht="22.05" customHeight="1" x14ac:dyDescent="0.2">
      <c r="A108" s="448" t="s">
        <v>435</v>
      </c>
      <c r="B108" s="464">
        <f>VLOOKUP($A108,Table22[],2,FALSE)</f>
        <v>0</v>
      </c>
      <c r="C108" s="732">
        <f>VLOOKUP($A108,Table22[],3,FALSE)</f>
        <v>0</v>
      </c>
      <c r="D108" s="461" t="s">
        <v>1700</v>
      </c>
      <c r="E108" s="448" t="s">
        <v>435</v>
      </c>
      <c r="F108" s="453">
        <f t="shared" si="8"/>
        <v>0</v>
      </c>
      <c r="G108" s="453">
        <f t="shared" si="8"/>
        <v>0</v>
      </c>
    </row>
    <row r="109" spans="1:7" ht="22.05" customHeight="1" x14ac:dyDescent="0.2">
      <c r="A109" s="448" t="s">
        <v>436</v>
      </c>
      <c r="B109" s="464">
        <f>VLOOKUP($A109,Table22[],2,FALSE)</f>
        <v>0</v>
      </c>
      <c r="C109" s="732">
        <f>VLOOKUP($A109,Table22[],3,FALSE)</f>
        <v>0</v>
      </c>
      <c r="D109" s="461" t="s">
        <v>1700</v>
      </c>
      <c r="E109" s="448" t="s">
        <v>436</v>
      </c>
      <c r="F109" s="453">
        <f t="shared" si="8"/>
        <v>0</v>
      </c>
      <c r="G109" s="453">
        <f t="shared" si="8"/>
        <v>0</v>
      </c>
    </row>
    <row r="110" spans="1:7" ht="22.05" customHeight="1" x14ac:dyDescent="0.2">
      <c r="A110" s="448" t="s">
        <v>437</v>
      </c>
      <c r="B110" s="464">
        <f>VLOOKUP($A110,Table22[],2,FALSE)</f>
        <v>0</v>
      </c>
      <c r="C110" s="732">
        <f>VLOOKUP($A110,Table22[],3,FALSE)</f>
        <v>0</v>
      </c>
      <c r="D110" s="461" t="s">
        <v>1700</v>
      </c>
      <c r="E110" s="448" t="s">
        <v>437</v>
      </c>
      <c r="F110" s="453">
        <f t="shared" si="8"/>
        <v>0</v>
      </c>
      <c r="G110" s="453">
        <f t="shared" si="8"/>
        <v>0</v>
      </c>
    </row>
    <row r="111" spans="1:7" ht="22.05" customHeight="1" x14ac:dyDescent="0.2">
      <c r="A111" s="448" t="s">
        <v>438</v>
      </c>
      <c r="B111" s="464">
        <f>VLOOKUP($A111,Table22[],2,FALSE)</f>
        <v>0</v>
      </c>
      <c r="C111" s="732">
        <f>VLOOKUP($A111,Table22[],3,FALSE)</f>
        <v>0</v>
      </c>
      <c r="D111" s="461" t="s">
        <v>1700</v>
      </c>
      <c r="E111" s="448" t="s">
        <v>438</v>
      </c>
      <c r="F111" s="453">
        <f t="shared" si="8"/>
        <v>0</v>
      </c>
      <c r="G111" s="453">
        <f t="shared" si="8"/>
        <v>0</v>
      </c>
    </row>
    <row r="112" spans="1:7" ht="22.05" customHeight="1" x14ac:dyDescent="0.2">
      <c r="A112" s="448" t="s">
        <v>439</v>
      </c>
      <c r="B112" s="464">
        <f>VLOOKUP($A112,Table22[],2,FALSE)</f>
        <v>0</v>
      </c>
      <c r="C112" s="732">
        <f>VLOOKUP($A112,Table22[],3,FALSE)</f>
        <v>0</v>
      </c>
      <c r="D112" s="461" t="s">
        <v>1700</v>
      </c>
      <c r="E112" s="448" t="s">
        <v>439</v>
      </c>
      <c r="F112" s="453">
        <f t="shared" si="8"/>
        <v>0</v>
      </c>
      <c r="G112" s="453">
        <f t="shared" si="8"/>
        <v>0</v>
      </c>
    </row>
    <row r="113" spans="1:7" ht="22.05" customHeight="1" x14ac:dyDescent="0.2">
      <c r="A113" s="448" t="s">
        <v>440</v>
      </c>
      <c r="B113" s="464">
        <f>VLOOKUP($A113,Table22[],2,FALSE)</f>
        <v>0</v>
      </c>
      <c r="C113" s="732">
        <f>VLOOKUP($A113,Table22[],3,FALSE)</f>
        <v>0</v>
      </c>
      <c r="D113" s="461" t="s">
        <v>1700</v>
      </c>
      <c r="E113" s="448" t="s">
        <v>440</v>
      </c>
      <c r="F113" s="453">
        <f t="shared" si="8"/>
        <v>0</v>
      </c>
      <c r="G113" s="453">
        <f t="shared" si="8"/>
        <v>0</v>
      </c>
    </row>
    <row r="114" spans="1:7" ht="22.05" customHeight="1" x14ac:dyDescent="0.2">
      <c r="A114" s="448" t="s">
        <v>441</v>
      </c>
      <c r="B114" s="464">
        <f>VLOOKUP($A114,Table22[],2,FALSE)</f>
        <v>0</v>
      </c>
      <c r="C114" s="732">
        <f>VLOOKUP($A114,Table22[],3,FALSE)</f>
        <v>0</v>
      </c>
      <c r="D114" s="461" t="s">
        <v>1700</v>
      </c>
      <c r="E114" s="448" t="s">
        <v>441</v>
      </c>
      <c r="F114" s="453">
        <f t="shared" si="8"/>
        <v>0</v>
      </c>
      <c r="G114" s="453">
        <f t="shared" si="8"/>
        <v>0</v>
      </c>
    </row>
    <row r="115" spans="1:7" ht="22.05" customHeight="1" x14ac:dyDescent="0.2">
      <c r="A115" s="448" t="s">
        <v>442</v>
      </c>
      <c r="B115" s="464">
        <f>VLOOKUP($A115,Table22[],2,FALSE)</f>
        <v>0</v>
      </c>
      <c r="C115" s="732">
        <f>VLOOKUP($A115,Table22[],3,FALSE)</f>
        <v>0</v>
      </c>
      <c r="D115" s="461" t="s">
        <v>1700</v>
      </c>
      <c r="E115" s="448" t="s">
        <v>442</v>
      </c>
      <c r="F115" s="453">
        <f t="shared" si="8"/>
        <v>0</v>
      </c>
      <c r="G115" s="453">
        <f t="shared" si="8"/>
        <v>0</v>
      </c>
    </row>
    <row r="116" spans="1:7" ht="22.05" customHeight="1" x14ac:dyDescent="0.2">
      <c r="A116" s="448" t="s">
        <v>443</v>
      </c>
      <c r="B116" s="464">
        <f>VLOOKUP($A116,Table22[],2,FALSE)</f>
        <v>0</v>
      </c>
      <c r="C116" s="732">
        <f>VLOOKUP($A116,Table22[],3,FALSE)</f>
        <v>0</v>
      </c>
      <c r="D116" s="461" t="s">
        <v>1700</v>
      </c>
      <c r="E116" s="448" t="s">
        <v>443</v>
      </c>
      <c r="F116" s="453">
        <f t="shared" si="8"/>
        <v>0</v>
      </c>
      <c r="G116" s="453">
        <f t="shared" si="8"/>
        <v>0</v>
      </c>
    </row>
    <row r="117" spans="1:7" ht="22.05" customHeight="1" x14ac:dyDescent="0.2">
      <c r="A117" s="448" t="s">
        <v>444</v>
      </c>
      <c r="B117" s="464">
        <f>VLOOKUP($A117,Table22[],2,FALSE)</f>
        <v>0</v>
      </c>
      <c r="C117" s="732">
        <f>VLOOKUP($A117,Table22[],3,FALSE)</f>
        <v>0</v>
      </c>
      <c r="D117" s="461" t="s">
        <v>1700</v>
      </c>
      <c r="E117" s="448" t="s">
        <v>444</v>
      </c>
      <c r="F117" s="453">
        <f t="shared" si="8"/>
        <v>0</v>
      </c>
      <c r="G117" s="453">
        <f t="shared" si="8"/>
        <v>0</v>
      </c>
    </row>
    <row r="118" spans="1:7" ht="22.05" customHeight="1" x14ac:dyDescent="0.2">
      <c r="A118" s="448" t="s">
        <v>445</v>
      </c>
      <c r="B118" s="464">
        <f>VLOOKUP($A118,Table22[],2,FALSE)</f>
        <v>0</v>
      </c>
      <c r="C118" s="732">
        <f>VLOOKUP($A118,Table22[],3,FALSE)</f>
        <v>0</v>
      </c>
      <c r="D118" s="461" t="s">
        <v>1700</v>
      </c>
      <c r="E118" s="448" t="s">
        <v>445</v>
      </c>
      <c r="F118" s="453">
        <f t="shared" si="8"/>
        <v>0</v>
      </c>
      <c r="G118" s="453">
        <f t="shared" si="8"/>
        <v>0</v>
      </c>
    </row>
    <row r="119" spans="1:7" ht="22.05" customHeight="1" x14ac:dyDescent="0.2">
      <c r="A119" s="448" t="s">
        <v>287</v>
      </c>
      <c r="B119" s="464">
        <f>VLOOKUP($A119,Table22[],2,FALSE)</f>
        <v>0</v>
      </c>
      <c r="C119" s="732">
        <f>VLOOKUP($A119,Table22[],3,FALSE)</f>
        <v>0</v>
      </c>
      <c r="D119" s="461" t="s">
        <v>1700</v>
      </c>
      <c r="E119" s="447" t="s">
        <v>1122</v>
      </c>
      <c r="F119" s="453">
        <f t="shared" si="8"/>
        <v>0</v>
      </c>
      <c r="G119" s="453">
        <f t="shared" si="8"/>
        <v>0</v>
      </c>
    </row>
    <row r="120" spans="1:7" ht="22.05" customHeight="1" x14ac:dyDescent="0.2">
      <c r="A120" s="448" t="s">
        <v>288</v>
      </c>
      <c r="B120" s="464">
        <f>VLOOKUP($A120,Table22[],2,FALSE)</f>
        <v>0</v>
      </c>
      <c r="C120" s="732">
        <f>VLOOKUP($A120,Table22[],3,FALSE)</f>
        <v>0</v>
      </c>
      <c r="D120" s="461" t="s">
        <v>1701</v>
      </c>
      <c r="E120" s="447"/>
      <c r="F120" s="754"/>
      <c r="G120" s="754"/>
    </row>
    <row r="121" spans="1:7" ht="22.05" customHeight="1" x14ac:dyDescent="0.2">
      <c r="A121" s="448" t="s">
        <v>289</v>
      </c>
      <c r="B121" s="464">
        <f>VLOOKUP($A121,Table22[],2,FALSE)</f>
        <v>0</v>
      </c>
      <c r="C121" s="732">
        <f>VLOOKUP($A121,Table22[],3,FALSE)</f>
        <v>0</v>
      </c>
      <c r="D121" s="461" t="s">
        <v>1701</v>
      </c>
      <c r="E121" s="447"/>
      <c r="F121" s="754"/>
      <c r="G121" s="754"/>
    </row>
    <row r="122" spans="1:7" ht="22.05" customHeight="1" x14ac:dyDescent="0.2">
      <c r="A122" s="448" t="s">
        <v>290</v>
      </c>
      <c r="B122" s="464">
        <f>VLOOKUP($A122,Table22[],2,FALSE)</f>
        <v>0</v>
      </c>
      <c r="C122" s="732">
        <f>VLOOKUP($A122,Table22[],3,FALSE)</f>
        <v>0</v>
      </c>
      <c r="D122" s="461" t="s">
        <v>1701</v>
      </c>
      <c r="E122" s="447"/>
      <c r="F122" s="754"/>
      <c r="G122" s="754"/>
    </row>
    <row r="123" spans="1:7" ht="22.05" customHeight="1" x14ac:dyDescent="0.2">
      <c r="A123" s="448" t="s">
        <v>291</v>
      </c>
      <c r="B123" s="464">
        <f>VLOOKUP($A123,Table22[],2,FALSE)</f>
        <v>0</v>
      </c>
      <c r="C123" s="732">
        <f>VLOOKUP($A123,Table22[],3,FALSE)</f>
        <v>0</v>
      </c>
      <c r="D123" s="461" t="s">
        <v>1699</v>
      </c>
      <c r="E123" s="447" t="s">
        <v>1125</v>
      </c>
      <c r="F123" s="453">
        <v>0</v>
      </c>
      <c r="G123" s="453">
        <v>0</v>
      </c>
    </row>
    <row r="124" spans="1:7" ht="22.05" customHeight="1" x14ac:dyDescent="0.2">
      <c r="A124" s="448" t="s">
        <v>292</v>
      </c>
      <c r="B124" s="464">
        <f>VLOOKUP($A124,Table22[],2,FALSE)</f>
        <v>0</v>
      </c>
      <c r="C124" s="732">
        <f>VLOOKUP($A124,Table22[],3,FALSE)</f>
        <v>0</v>
      </c>
      <c r="D124" s="461" t="s">
        <v>1699</v>
      </c>
      <c r="E124" s="447" t="s">
        <v>1124</v>
      </c>
      <c r="F124" s="453">
        <v>0</v>
      </c>
      <c r="G124" s="453">
        <v>0</v>
      </c>
    </row>
    <row r="125" spans="1:7" ht="22.05" customHeight="1" x14ac:dyDescent="0.2">
      <c r="A125" s="448" t="s">
        <v>293</v>
      </c>
      <c r="B125" s="464">
        <f>VLOOKUP($A125,Table22[],2,FALSE)</f>
        <v>0</v>
      </c>
      <c r="C125" s="732">
        <f>VLOOKUP($A125,Table22[],3,FALSE)</f>
        <v>0</v>
      </c>
      <c r="D125" s="461" t="s">
        <v>1701</v>
      </c>
      <c r="E125" s="447"/>
      <c r="F125" s="754"/>
      <c r="G125" s="754"/>
    </row>
    <row r="126" spans="1:7" ht="22.05" customHeight="1" x14ac:dyDescent="0.2">
      <c r="A126" s="448" t="s">
        <v>294</v>
      </c>
      <c r="B126" s="464">
        <f>VLOOKUP($A126,Table22[],2,FALSE)</f>
        <v>0</v>
      </c>
      <c r="C126" s="732">
        <f>VLOOKUP($A126,Table22[],3,FALSE)</f>
        <v>0</v>
      </c>
      <c r="D126" s="461" t="s">
        <v>1701</v>
      </c>
      <c r="E126" s="447"/>
      <c r="F126" s="754"/>
      <c r="G126" s="754"/>
    </row>
    <row r="127" spans="1:7" ht="22.05" customHeight="1" x14ac:dyDescent="0.2">
      <c r="A127" s="448" t="s">
        <v>295</v>
      </c>
      <c r="B127" s="464">
        <f>VLOOKUP($A127,Table22[],2,FALSE)</f>
        <v>0</v>
      </c>
      <c r="C127" s="732">
        <f>VLOOKUP($A127,Table22[],3,FALSE)</f>
        <v>0</v>
      </c>
      <c r="D127" s="461" t="s">
        <v>1700</v>
      </c>
      <c r="E127" s="447" t="s">
        <v>1128</v>
      </c>
      <c r="F127" s="453">
        <f>B127</f>
        <v>0</v>
      </c>
      <c r="G127" s="453">
        <f>C127</f>
        <v>0</v>
      </c>
    </row>
    <row r="128" spans="1:7" ht="22.05" customHeight="1" x14ac:dyDescent="0.2">
      <c r="A128" s="448" t="s">
        <v>296</v>
      </c>
      <c r="B128" s="464">
        <f>VLOOKUP($A128,Table22[],2,FALSE)</f>
        <v>0</v>
      </c>
      <c r="C128" s="732">
        <f>VLOOKUP($A128,Table22[],3,FALSE)</f>
        <v>0</v>
      </c>
      <c r="D128" s="461" t="s">
        <v>1701</v>
      </c>
      <c r="E128" s="447"/>
      <c r="F128" s="754"/>
      <c r="G128" s="754"/>
    </row>
    <row r="129" spans="1:7" ht="22.05" customHeight="1" x14ac:dyDescent="0.2">
      <c r="A129" s="448" t="s">
        <v>297</v>
      </c>
      <c r="B129" s="464">
        <f>VLOOKUP($A129,Table22[],2,FALSE)</f>
        <v>0</v>
      </c>
      <c r="C129" s="732">
        <f>VLOOKUP($A129,Table22[],3,FALSE)</f>
        <v>0</v>
      </c>
      <c r="D129" s="461" t="s">
        <v>1701</v>
      </c>
      <c r="E129" s="447"/>
      <c r="F129" s="754"/>
      <c r="G129" s="754"/>
    </row>
    <row r="130" spans="1:7" ht="22.05" customHeight="1" x14ac:dyDescent="0.2">
      <c r="A130" s="448" t="s">
        <v>298</v>
      </c>
      <c r="B130" s="464">
        <f>VLOOKUP($A130,Table22[],2,FALSE)</f>
        <v>0</v>
      </c>
      <c r="C130" s="732">
        <f>VLOOKUP($A130,Table22[],3,FALSE)</f>
        <v>0</v>
      </c>
      <c r="D130" s="461" t="s">
        <v>1699</v>
      </c>
      <c r="E130" s="447" t="s">
        <v>1135</v>
      </c>
      <c r="F130" s="453">
        <v>0</v>
      </c>
      <c r="G130" s="453">
        <v>0</v>
      </c>
    </row>
    <row r="131" spans="1:7" ht="22.05" customHeight="1" x14ac:dyDescent="0.2">
      <c r="A131" s="448" t="s">
        <v>299</v>
      </c>
      <c r="B131" s="464">
        <f>VLOOKUP($A131,Table22[],2,FALSE)</f>
        <v>0</v>
      </c>
      <c r="C131" s="732">
        <f>VLOOKUP($A131,Table22[],3,FALSE)</f>
        <v>0</v>
      </c>
      <c r="D131" s="461" t="s">
        <v>1700</v>
      </c>
      <c r="E131" s="447" t="s">
        <v>1133</v>
      </c>
      <c r="F131" s="453">
        <f>B131</f>
        <v>0</v>
      </c>
      <c r="G131" s="453">
        <f>C131</f>
        <v>0</v>
      </c>
    </row>
    <row r="132" spans="1:7" ht="22.05" customHeight="1" x14ac:dyDescent="0.2">
      <c r="A132" s="448" t="s">
        <v>300</v>
      </c>
      <c r="B132" s="464">
        <f>VLOOKUP($A132,Table22[],2,FALSE)</f>
        <v>0</v>
      </c>
      <c r="C132" s="732">
        <f>VLOOKUP($A132,Table22[],3,FALSE)</f>
        <v>0</v>
      </c>
      <c r="D132" s="461" t="s">
        <v>1699</v>
      </c>
      <c r="E132" s="447" t="s">
        <v>1131</v>
      </c>
      <c r="F132" s="453">
        <v>0</v>
      </c>
      <c r="G132" s="453">
        <v>0</v>
      </c>
    </row>
    <row r="133" spans="1:7" ht="22.05" customHeight="1" x14ac:dyDescent="0.2">
      <c r="A133" s="448" t="s">
        <v>301</v>
      </c>
      <c r="B133" s="464">
        <f>VLOOKUP($A133,Table22[],2,FALSE)</f>
        <v>0</v>
      </c>
      <c r="C133" s="732">
        <f>VLOOKUP($A133,Table22[],3,FALSE)</f>
        <v>0</v>
      </c>
      <c r="D133" s="461" t="s">
        <v>1701</v>
      </c>
      <c r="E133" s="447"/>
      <c r="F133" s="754"/>
      <c r="G133" s="754"/>
    </row>
    <row r="134" spans="1:7" ht="22.05" customHeight="1" x14ac:dyDescent="0.2">
      <c r="A134" s="448" t="s">
        <v>302</v>
      </c>
      <c r="B134" s="464">
        <f>VLOOKUP($A134,Table22[],2,FALSE)</f>
        <v>0</v>
      </c>
      <c r="C134" s="732">
        <f>VLOOKUP($A134,Table22[],3,FALSE)</f>
        <v>0</v>
      </c>
      <c r="D134" s="461" t="s">
        <v>1700</v>
      </c>
      <c r="E134" s="447" t="s">
        <v>1134</v>
      </c>
      <c r="F134" s="453">
        <f t="shared" ref="F134:G137" si="9">B134</f>
        <v>0</v>
      </c>
      <c r="G134" s="453">
        <f t="shared" si="9"/>
        <v>0</v>
      </c>
    </row>
    <row r="135" spans="1:7" ht="22.05" customHeight="1" x14ac:dyDescent="0.2">
      <c r="A135" s="448" t="s">
        <v>303</v>
      </c>
      <c r="B135" s="464">
        <f>VLOOKUP($A135,Table22[],2,FALSE)</f>
        <v>0</v>
      </c>
      <c r="C135" s="732">
        <f>VLOOKUP($A135,Table22[],3,FALSE)</f>
        <v>0</v>
      </c>
      <c r="D135" s="461" t="s">
        <v>1700</v>
      </c>
      <c r="E135" s="447" t="s">
        <v>1132</v>
      </c>
      <c r="F135" s="453">
        <f t="shared" si="9"/>
        <v>0</v>
      </c>
      <c r="G135" s="453">
        <f t="shared" si="9"/>
        <v>0</v>
      </c>
    </row>
    <row r="136" spans="1:7" ht="22.05" customHeight="1" x14ac:dyDescent="0.2">
      <c r="A136" s="448" t="s">
        <v>304</v>
      </c>
      <c r="B136" s="464">
        <f>VLOOKUP($A136,Table22[],2,FALSE)</f>
        <v>0</v>
      </c>
      <c r="C136" s="732">
        <f>VLOOKUP($A136,Table22[],3,FALSE)</f>
        <v>0</v>
      </c>
      <c r="D136" s="461" t="s">
        <v>1700</v>
      </c>
      <c r="E136" s="447" t="s">
        <v>1136</v>
      </c>
      <c r="F136" s="453">
        <f t="shared" si="9"/>
        <v>0</v>
      </c>
      <c r="G136" s="453">
        <f t="shared" si="9"/>
        <v>0</v>
      </c>
    </row>
    <row r="137" spans="1:7" ht="22.05" customHeight="1" x14ac:dyDescent="0.2">
      <c r="A137" s="448" t="s">
        <v>305</v>
      </c>
      <c r="B137" s="464">
        <f>VLOOKUP($A137,Table22[],2,FALSE)</f>
        <v>0</v>
      </c>
      <c r="C137" s="732">
        <f>VLOOKUP($A137,Table22[],3,FALSE)</f>
        <v>0</v>
      </c>
      <c r="D137" s="461" t="s">
        <v>1700</v>
      </c>
      <c r="E137" s="447" t="s">
        <v>1137</v>
      </c>
      <c r="F137" s="453">
        <f t="shared" si="9"/>
        <v>0</v>
      </c>
      <c r="G137" s="453">
        <f t="shared" si="9"/>
        <v>0</v>
      </c>
    </row>
    <row r="138" spans="1:7" ht="22.05" customHeight="1" x14ac:dyDescent="0.2">
      <c r="A138" s="448" t="s">
        <v>306</v>
      </c>
      <c r="B138" s="464">
        <f>VLOOKUP($A138,Table22[],2,FALSE)</f>
        <v>0</v>
      </c>
      <c r="C138" s="732">
        <f>VLOOKUP($A138,Table22[],3,FALSE)</f>
        <v>0</v>
      </c>
      <c r="D138" s="461" t="s">
        <v>1701</v>
      </c>
      <c r="E138" s="447"/>
      <c r="F138" s="754"/>
      <c r="G138" s="754"/>
    </row>
    <row r="139" spans="1:7" ht="22.05" customHeight="1" x14ac:dyDescent="0.2">
      <c r="A139" s="448" t="s">
        <v>307</v>
      </c>
      <c r="B139" s="464">
        <f>VLOOKUP($A139,Table22[],2,FALSE)</f>
        <v>0</v>
      </c>
      <c r="C139" s="732">
        <f>VLOOKUP($A139,Table22[],3,FALSE)</f>
        <v>0</v>
      </c>
      <c r="D139" s="461" t="s">
        <v>1700</v>
      </c>
      <c r="E139" s="447" t="s">
        <v>1138</v>
      </c>
      <c r="F139" s="453">
        <f t="shared" ref="F139:G143" si="10">B139</f>
        <v>0</v>
      </c>
      <c r="G139" s="453">
        <f t="shared" si="10"/>
        <v>0</v>
      </c>
    </row>
    <row r="140" spans="1:7" ht="22.05" customHeight="1" x14ac:dyDescent="0.2">
      <c r="A140" s="448" t="s">
        <v>308</v>
      </c>
      <c r="B140" s="464">
        <f>VLOOKUP($A140,Table22[],2,FALSE)</f>
        <v>0</v>
      </c>
      <c r="C140" s="732">
        <f>VLOOKUP($A140,Table22[],3,FALSE)</f>
        <v>0</v>
      </c>
      <c r="D140" s="461" t="s">
        <v>1700</v>
      </c>
      <c r="E140" s="447" t="s">
        <v>1139</v>
      </c>
      <c r="F140" s="453">
        <f t="shared" si="10"/>
        <v>0</v>
      </c>
      <c r="G140" s="453">
        <f t="shared" si="10"/>
        <v>0</v>
      </c>
    </row>
    <row r="141" spans="1:7" ht="22.05" customHeight="1" x14ac:dyDescent="0.2">
      <c r="A141" s="448" t="s">
        <v>309</v>
      </c>
      <c r="B141" s="464">
        <f>VLOOKUP($A141,Table22[],2,FALSE)</f>
        <v>0</v>
      </c>
      <c r="C141" s="732">
        <f>VLOOKUP($A141,Table22[],3,FALSE)</f>
        <v>0</v>
      </c>
      <c r="D141" s="461" t="s">
        <v>1700</v>
      </c>
      <c r="E141" s="447" t="s">
        <v>1140</v>
      </c>
      <c r="F141" s="453">
        <f t="shared" si="10"/>
        <v>0</v>
      </c>
      <c r="G141" s="453">
        <f t="shared" si="10"/>
        <v>0</v>
      </c>
    </row>
    <row r="142" spans="1:7" ht="22.05" customHeight="1" x14ac:dyDescent="0.2">
      <c r="A142" s="448" t="s">
        <v>310</v>
      </c>
      <c r="B142" s="464">
        <f>VLOOKUP($A142,Table22[],2,FALSE)</f>
        <v>0</v>
      </c>
      <c r="C142" s="732">
        <f>VLOOKUP($A142,Table22[],3,FALSE)</f>
        <v>0</v>
      </c>
      <c r="D142" s="461" t="s">
        <v>1700</v>
      </c>
      <c r="E142" s="447" t="s">
        <v>1142</v>
      </c>
      <c r="F142" s="453">
        <f t="shared" si="10"/>
        <v>0</v>
      </c>
      <c r="G142" s="453">
        <f t="shared" si="10"/>
        <v>0</v>
      </c>
    </row>
    <row r="143" spans="1:7" ht="22.05" customHeight="1" x14ac:dyDescent="0.2">
      <c r="A143" s="448" t="s">
        <v>311</v>
      </c>
      <c r="B143" s="464">
        <f>VLOOKUP($A143,Table22[],2,FALSE)</f>
        <v>0</v>
      </c>
      <c r="C143" s="732">
        <f>VLOOKUP($A143,Table22[],3,FALSE)</f>
        <v>0</v>
      </c>
      <c r="D143" s="461" t="s">
        <v>1700</v>
      </c>
      <c r="E143" s="447" t="s">
        <v>1143</v>
      </c>
      <c r="F143" s="453">
        <f t="shared" si="10"/>
        <v>0</v>
      </c>
      <c r="G143" s="453">
        <f t="shared" si="10"/>
        <v>0</v>
      </c>
    </row>
    <row r="144" spans="1:7" ht="22.05" customHeight="1" x14ac:dyDescent="0.2">
      <c r="A144" s="448" t="s">
        <v>312</v>
      </c>
      <c r="B144" s="464">
        <f>VLOOKUP($A144,Table22[],2,FALSE)</f>
        <v>0</v>
      </c>
      <c r="C144" s="732">
        <f>VLOOKUP($A144,Table22[],3,FALSE)</f>
        <v>0</v>
      </c>
      <c r="D144" s="461" t="s">
        <v>1699</v>
      </c>
      <c r="E144" s="447" t="s">
        <v>1141</v>
      </c>
      <c r="F144" s="453">
        <v>0</v>
      </c>
      <c r="G144" s="453">
        <v>0</v>
      </c>
    </row>
    <row r="145" spans="1:7" ht="22.05" customHeight="1" x14ac:dyDescent="0.2">
      <c r="A145" s="448" t="s">
        <v>313</v>
      </c>
      <c r="B145" s="464">
        <f>VLOOKUP($A145,Table22[],2,FALSE)</f>
        <v>0</v>
      </c>
      <c r="C145" s="732">
        <f>VLOOKUP($A145,Table22[],3,FALSE)</f>
        <v>0</v>
      </c>
      <c r="D145" s="461" t="s">
        <v>1699</v>
      </c>
      <c r="E145" s="447" t="s">
        <v>1144</v>
      </c>
      <c r="F145" s="453">
        <v>0</v>
      </c>
      <c r="G145" s="453">
        <v>0</v>
      </c>
    </row>
    <row r="146" spans="1:7" ht="22.05" customHeight="1" x14ac:dyDescent="0.2">
      <c r="A146" s="448" t="s">
        <v>314</v>
      </c>
      <c r="B146" s="464">
        <f>VLOOKUP($A146,Table22[],2,FALSE)</f>
        <v>0</v>
      </c>
      <c r="C146" s="732">
        <f>VLOOKUP($A146,Table22[],3,FALSE)</f>
        <v>0</v>
      </c>
      <c r="D146" s="461" t="s">
        <v>1701</v>
      </c>
      <c r="E146" s="447"/>
      <c r="F146" s="754"/>
      <c r="G146" s="754"/>
    </row>
    <row r="147" spans="1:7" ht="22.05" customHeight="1" x14ac:dyDescent="0.2">
      <c r="A147" s="448" t="s">
        <v>379</v>
      </c>
      <c r="B147" s="464">
        <f>VLOOKUP($A147,Table22[],2,FALSE)</f>
        <v>0</v>
      </c>
      <c r="C147" s="732">
        <f>VLOOKUP($A147,Table22[],3,FALSE)</f>
        <v>0</v>
      </c>
      <c r="D147" s="461" t="s">
        <v>1700</v>
      </c>
      <c r="E147" s="447" t="s">
        <v>379</v>
      </c>
      <c r="F147" s="453">
        <f t="shared" ref="F147:G174" si="11">B147</f>
        <v>0</v>
      </c>
      <c r="G147" s="453">
        <f t="shared" si="11"/>
        <v>0</v>
      </c>
    </row>
    <row r="148" spans="1:7" ht="22.05" customHeight="1" x14ac:dyDescent="0.2">
      <c r="A148" s="448" t="s">
        <v>380</v>
      </c>
      <c r="B148" s="464">
        <f>VLOOKUP($A148,Table22[],2,FALSE)</f>
        <v>0</v>
      </c>
      <c r="C148" s="732">
        <f>VLOOKUP($A148,Table22[],3,FALSE)</f>
        <v>0</v>
      </c>
      <c r="D148" s="461" t="s">
        <v>1700</v>
      </c>
      <c r="E148" s="447" t="s">
        <v>380</v>
      </c>
      <c r="F148" s="453">
        <f t="shared" si="11"/>
        <v>0</v>
      </c>
      <c r="G148" s="453">
        <f t="shared" si="11"/>
        <v>0</v>
      </c>
    </row>
    <row r="149" spans="1:7" ht="22.05" customHeight="1" x14ac:dyDescent="0.2">
      <c r="A149" s="448" t="s">
        <v>381</v>
      </c>
      <c r="B149" s="464">
        <f>VLOOKUP($A149,Table22[],2,FALSE)</f>
        <v>0</v>
      </c>
      <c r="C149" s="732">
        <f>VLOOKUP($A149,Table22[],3,FALSE)</f>
        <v>0</v>
      </c>
      <c r="D149" s="461" t="s">
        <v>1700</v>
      </c>
      <c r="E149" s="447" t="s">
        <v>381</v>
      </c>
      <c r="F149" s="453">
        <f t="shared" si="11"/>
        <v>0</v>
      </c>
      <c r="G149" s="453">
        <f t="shared" si="11"/>
        <v>0</v>
      </c>
    </row>
    <row r="150" spans="1:7" ht="22.05" customHeight="1" x14ac:dyDescent="0.2">
      <c r="A150" s="448" t="s">
        <v>382</v>
      </c>
      <c r="B150" s="464">
        <f>VLOOKUP($A150,Table22[],2,FALSE)</f>
        <v>0</v>
      </c>
      <c r="C150" s="732">
        <f>VLOOKUP($A150,Table22[],3,FALSE)</f>
        <v>0</v>
      </c>
      <c r="D150" s="461" t="s">
        <v>1700</v>
      </c>
      <c r="E150" s="447" t="s">
        <v>382</v>
      </c>
      <c r="F150" s="453">
        <f t="shared" si="11"/>
        <v>0</v>
      </c>
      <c r="G150" s="453">
        <f t="shared" si="11"/>
        <v>0</v>
      </c>
    </row>
    <row r="151" spans="1:7" ht="22.05" customHeight="1" x14ac:dyDescent="0.2">
      <c r="A151" s="448" t="s">
        <v>383</v>
      </c>
      <c r="B151" s="464">
        <f>VLOOKUP($A151,Table22[],2,FALSE)</f>
        <v>0</v>
      </c>
      <c r="C151" s="732">
        <f>VLOOKUP($A151,Table22[],3,FALSE)</f>
        <v>0</v>
      </c>
      <c r="D151" s="461" t="s">
        <v>1700</v>
      </c>
      <c r="E151" s="447" t="s">
        <v>383</v>
      </c>
      <c r="F151" s="453">
        <f t="shared" si="11"/>
        <v>0</v>
      </c>
      <c r="G151" s="453">
        <f t="shared" si="11"/>
        <v>0</v>
      </c>
    </row>
    <row r="152" spans="1:7" ht="22.05" customHeight="1" x14ac:dyDescent="0.2">
      <c r="A152" s="448" t="s">
        <v>384</v>
      </c>
      <c r="B152" s="464">
        <f>VLOOKUP($A152,Table22[],2,FALSE)</f>
        <v>0</v>
      </c>
      <c r="C152" s="732">
        <f>VLOOKUP($A152,Table22[],3,FALSE)</f>
        <v>0</v>
      </c>
      <c r="D152" s="461" t="s">
        <v>1700</v>
      </c>
      <c r="E152" s="447" t="s">
        <v>384</v>
      </c>
      <c r="F152" s="453">
        <f t="shared" si="11"/>
        <v>0</v>
      </c>
      <c r="G152" s="453">
        <f t="shared" si="11"/>
        <v>0</v>
      </c>
    </row>
    <row r="153" spans="1:7" ht="22.05" customHeight="1" x14ac:dyDescent="0.2">
      <c r="A153" s="448" t="s">
        <v>385</v>
      </c>
      <c r="B153" s="464">
        <f>VLOOKUP($A153,Table22[],2,FALSE)</f>
        <v>0</v>
      </c>
      <c r="C153" s="732">
        <f>VLOOKUP($A153,Table22[],3,FALSE)</f>
        <v>0</v>
      </c>
      <c r="D153" s="461" t="s">
        <v>1700</v>
      </c>
      <c r="E153" s="447" t="s">
        <v>385</v>
      </c>
      <c r="F153" s="453">
        <f t="shared" si="11"/>
        <v>0</v>
      </c>
      <c r="G153" s="453">
        <f t="shared" si="11"/>
        <v>0</v>
      </c>
    </row>
    <row r="154" spans="1:7" ht="22.05" customHeight="1" x14ac:dyDescent="0.2">
      <c r="A154" s="448" t="s">
        <v>386</v>
      </c>
      <c r="B154" s="464">
        <f>VLOOKUP($A154,Table22[],2,FALSE)</f>
        <v>0</v>
      </c>
      <c r="C154" s="732">
        <f>VLOOKUP($A154,Table22[],3,FALSE)</f>
        <v>0</v>
      </c>
      <c r="D154" s="461" t="s">
        <v>1700</v>
      </c>
      <c r="E154" s="447" t="s">
        <v>386</v>
      </c>
      <c r="F154" s="453">
        <f t="shared" si="11"/>
        <v>0</v>
      </c>
      <c r="G154" s="453">
        <f t="shared" si="11"/>
        <v>0</v>
      </c>
    </row>
    <row r="155" spans="1:7" ht="22.05" customHeight="1" x14ac:dyDescent="0.2">
      <c r="A155" s="448" t="s">
        <v>387</v>
      </c>
      <c r="B155" s="464">
        <f>VLOOKUP($A155,Table22[],2,FALSE)</f>
        <v>0</v>
      </c>
      <c r="C155" s="732">
        <f>VLOOKUP($A155,Table22[],3,FALSE)</f>
        <v>0</v>
      </c>
      <c r="D155" s="461" t="s">
        <v>1700</v>
      </c>
      <c r="E155" s="447" t="s">
        <v>387</v>
      </c>
      <c r="F155" s="453">
        <f t="shared" si="11"/>
        <v>0</v>
      </c>
      <c r="G155" s="453">
        <f t="shared" si="11"/>
        <v>0</v>
      </c>
    </row>
    <row r="156" spans="1:7" ht="22.05" customHeight="1" x14ac:dyDescent="0.2">
      <c r="A156" s="448" t="s">
        <v>388</v>
      </c>
      <c r="B156" s="464">
        <f>VLOOKUP($A156,Table22[],2,FALSE)</f>
        <v>0</v>
      </c>
      <c r="C156" s="732">
        <f>VLOOKUP($A156,Table22[],3,FALSE)</f>
        <v>0</v>
      </c>
      <c r="D156" s="461" t="s">
        <v>1700</v>
      </c>
      <c r="E156" s="447" t="s">
        <v>388</v>
      </c>
      <c r="F156" s="453">
        <f t="shared" si="11"/>
        <v>0</v>
      </c>
      <c r="G156" s="453">
        <f t="shared" si="11"/>
        <v>0</v>
      </c>
    </row>
    <row r="157" spans="1:7" ht="22.05" customHeight="1" x14ac:dyDescent="0.2">
      <c r="A157" s="448" t="s">
        <v>389</v>
      </c>
      <c r="B157" s="464">
        <f>VLOOKUP($A157,Table22[],2,FALSE)</f>
        <v>0</v>
      </c>
      <c r="C157" s="732">
        <f>VLOOKUP($A157,Table22[],3,FALSE)</f>
        <v>0</v>
      </c>
      <c r="D157" s="461" t="s">
        <v>1700</v>
      </c>
      <c r="E157" s="447" t="s">
        <v>389</v>
      </c>
      <c r="F157" s="453">
        <f t="shared" si="11"/>
        <v>0</v>
      </c>
      <c r="G157" s="453">
        <f t="shared" si="11"/>
        <v>0</v>
      </c>
    </row>
    <row r="158" spans="1:7" ht="22.05" customHeight="1" x14ac:dyDescent="0.2">
      <c r="A158" s="448" t="s">
        <v>390</v>
      </c>
      <c r="B158" s="464">
        <f>VLOOKUP($A158,Table22[],2,FALSE)</f>
        <v>0</v>
      </c>
      <c r="C158" s="732">
        <f>VLOOKUP($A158,Table22[],3,FALSE)</f>
        <v>0</v>
      </c>
      <c r="D158" s="461" t="s">
        <v>1700</v>
      </c>
      <c r="E158" s="447" t="s">
        <v>390</v>
      </c>
      <c r="F158" s="453">
        <f t="shared" si="11"/>
        <v>0</v>
      </c>
      <c r="G158" s="453">
        <f t="shared" si="11"/>
        <v>0</v>
      </c>
    </row>
    <row r="159" spans="1:7" ht="22.05" customHeight="1" x14ac:dyDescent="0.2">
      <c r="A159" s="448" t="s">
        <v>391</v>
      </c>
      <c r="B159" s="464">
        <f>VLOOKUP($A159,Table22[],2,FALSE)</f>
        <v>0</v>
      </c>
      <c r="C159" s="732">
        <f>VLOOKUP($A159,Table22[],3,FALSE)</f>
        <v>0</v>
      </c>
      <c r="D159" s="461" t="s">
        <v>1700</v>
      </c>
      <c r="E159" s="447" t="s">
        <v>391</v>
      </c>
      <c r="F159" s="453">
        <f t="shared" si="11"/>
        <v>0</v>
      </c>
      <c r="G159" s="453">
        <f t="shared" si="11"/>
        <v>0</v>
      </c>
    </row>
    <row r="160" spans="1:7" ht="22.05" customHeight="1" x14ac:dyDescent="0.2">
      <c r="A160" s="448" t="s">
        <v>392</v>
      </c>
      <c r="B160" s="464">
        <f>VLOOKUP($A160,Table22[],2,FALSE)</f>
        <v>0</v>
      </c>
      <c r="C160" s="732">
        <f>VLOOKUP($A160,Table22[],3,FALSE)</f>
        <v>0</v>
      </c>
      <c r="D160" s="461" t="s">
        <v>1700</v>
      </c>
      <c r="E160" s="447" t="s">
        <v>392</v>
      </c>
      <c r="F160" s="453">
        <f t="shared" si="11"/>
        <v>0</v>
      </c>
      <c r="G160" s="453">
        <f t="shared" si="11"/>
        <v>0</v>
      </c>
    </row>
    <row r="161" spans="1:7" ht="22.05" customHeight="1" x14ac:dyDescent="0.2">
      <c r="A161" s="448" t="s">
        <v>393</v>
      </c>
      <c r="B161" s="464">
        <f>VLOOKUP($A161,Table22[],2,FALSE)</f>
        <v>0</v>
      </c>
      <c r="C161" s="732">
        <f>VLOOKUP($A161,Table22[],3,FALSE)</f>
        <v>0</v>
      </c>
      <c r="D161" s="461" t="s">
        <v>1700</v>
      </c>
      <c r="E161" s="447" t="s">
        <v>393</v>
      </c>
      <c r="F161" s="453">
        <f t="shared" si="11"/>
        <v>0</v>
      </c>
      <c r="G161" s="453">
        <f t="shared" si="11"/>
        <v>0</v>
      </c>
    </row>
    <row r="162" spans="1:7" ht="22.05" customHeight="1" x14ac:dyDescent="0.2">
      <c r="A162" s="448" t="s">
        <v>394</v>
      </c>
      <c r="B162" s="464">
        <f>VLOOKUP($A162,Table22[],2,FALSE)</f>
        <v>0</v>
      </c>
      <c r="C162" s="732">
        <f>VLOOKUP($A162,Table22[],3,FALSE)</f>
        <v>0</v>
      </c>
      <c r="D162" s="461" t="s">
        <v>1700</v>
      </c>
      <c r="E162" s="447" t="s">
        <v>394</v>
      </c>
      <c r="F162" s="453">
        <f t="shared" si="11"/>
        <v>0</v>
      </c>
      <c r="G162" s="453">
        <f t="shared" si="11"/>
        <v>0</v>
      </c>
    </row>
    <row r="163" spans="1:7" ht="22.05" customHeight="1" x14ac:dyDescent="0.2">
      <c r="A163" s="448" t="s">
        <v>395</v>
      </c>
      <c r="B163" s="464">
        <f>VLOOKUP($A163,Table22[],2,FALSE)</f>
        <v>0</v>
      </c>
      <c r="C163" s="732">
        <f>VLOOKUP($A163,Table22[],3,FALSE)</f>
        <v>0</v>
      </c>
      <c r="D163" s="461" t="s">
        <v>1700</v>
      </c>
      <c r="E163" s="447" t="s">
        <v>395</v>
      </c>
      <c r="F163" s="453">
        <f t="shared" si="11"/>
        <v>0</v>
      </c>
      <c r="G163" s="453">
        <f t="shared" si="11"/>
        <v>0</v>
      </c>
    </row>
    <row r="164" spans="1:7" ht="22.05" customHeight="1" x14ac:dyDescent="0.2">
      <c r="A164" s="448" t="s">
        <v>396</v>
      </c>
      <c r="B164" s="464">
        <f>VLOOKUP($A164,Table22[],2,FALSE)</f>
        <v>0</v>
      </c>
      <c r="C164" s="732">
        <f>VLOOKUP($A164,Table22[],3,FALSE)</f>
        <v>0</v>
      </c>
      <c r="D164" s="461" t="s">
        <v>1700</v>
      </c>
      <c r="E164" s="447" t="s">
        <v>396</v>
      </c>
      <c r="F164" s="453">
        <f t="shared" si="11"/>
        <v>0</v>
      </c>
      <c r="G164" s="453">
        <f t="shared" si="11"/>
        <v>0</v>
      </c>
    </row>
    <row r="165" spans="1:7" ht="22.05" customHeight="1" x14ac:dyDescent="0.2">
      <c r="A165" s="448" t="s">
        <v>397</v>
      </c>
      <c r="B165" s="464">
        <f>VLOOKUP($A165,Table22[],2,FALSE)</f>
        <v>0</v>
      </c>
      <c r="C165" s="732">
        <f>VLOOKUP($A165,Table22[],3,FALSE)</f>
        <v>0</v>
      </c>
      <c r="D165" s="461" t="s">
        <v>1700</v>
      </c>
      <c r="E165" s="447" t="s">
        <v>397</v>
      </c>
      <c r="F165" s="453">
        <f t="shared" si="11"/>
        <v>0</v>
      </c>
      <c r="G165" s="453">
        <f t="shared" si="11"/>
        <v>0</v>
      </c>
    </row>
    <row r="166" spans="1:7" ht="22.05" customHeight="1" x14ac:dyDescent="0.2">
      <c r="A166" s="448" t="s">
        <v>398</v>
      </c>
      <c r="B166" s="464">
        <f>VLOOKUP($A166,Table22[],2,FALSE)</f>
        <v>0</v>
      </c>
      <c r="C166" s="732">
        <f>VLOOKUP($A166,Table22[],3,FALSE)</f>
        <v>0</v>
      </c>
      <c r="D166" s="461" t="s">
        <v>1700</v>
      </c>
      <c r="E166" s="447" t="s">
        <v>398</v>
      </c>
      <c r="F166" s="453">
        <f t="shared" si="11"/>
        <v>0</v>
      </c>
      <c r="G166" s="453">
        <f t="shared" si="11"/>
        <v>0</v>
      </c>
    </row>
    <row r="167" spans="1:7" ht="22.05" customHeight="1" x14ac:dyDescent="0.2">
      <c r="A167" s="448" t="s">
        <v>399</v>
      </c>
      <c r="B167" s="464">
        <f>VLOOKUP($A167,Table22[],2,FALSE)</f>
        <v>0</v>
      </c>
      <c r="C167" s="732">
        <f>VLOOKUP($A167,Table22[],3,FALSE)</f>
        <v>0</v>
      </c>
      <c r="D167" s="461" t="s">
        <v>1700</v>
      </c>
      <c r="E167" s="447" t="s">
        <v>280</v>
      </c>
      <c r="F167" s="453">
        <f t="shared" si="11"/>
        <v>0</v>
      </c>
      <c r="G167" s="453">
        <f t="shared" si="11"/>
        <v>0</v>
      </c>
    </row>
    <row r="168" spans="1:7" ht="22.05" customHeight="1" x14ac:dyDescent="0.2">
      <c r="A168" s="448" t="s">
        <v>400</v>
      </c>
      <c r="B168" s="464">
        <f>VLOOKUP($A168,Table22[],2,FALSE)</f>
        <v>0</v>
      </c>
      <c r="C168" s="732">
        <f>VLOOKUP($A168,Table22[],3,FALSE)</f>
        <v>0</v>
      </c>
      <c r="D168" s="461" t="s">
        <v>1700</v>
      </c>
      <c r="E168" s="447" t="s">
        <v>281</v>
      </c>
      <c r="F168" s="453">
        <f t="shared" si="11"/>
        <v>0</v>
      </c>
      <c r="G168" s="453">
        <f t="shared" si="11"/>
        <v>0</v>
      </c>
    </row>
    <row r="169" spans="1:7" ht="22.05" customHeight="1" x14ac:dyDescent="0.2">
      <c r="A169" s="448" t="s">
        <v>401</v>
      </c>
      <c r="B169" s="464">
        <f>VLOOKUP($A169,Table22[],2,FALSE)</f>
        <v>0</v>
      </c>
      <c r="C169" s="732">
        <f>VLOOKUP($A169,Table22[],3,FALSE)</f>
        <v>0</v>
      </c>
      <c r="D169" s="461" t="s">
        <v>1700</v>
      </c>
      <c r="E169" s="447" t="s">
        <v>283</v>
      </c>
      <c r="F169" s="453">
        <f t="shared" si="11"/>
        <v>0</v>
      </c>
      <c r="G169" s="453">
        <f t="shared" si="11"/>
        <v>0</v>
      </c>
    </row>
    <row r="170" spans="1:7" ht="22.05" customHeight="1" x14ac:dyDescent="0.2">
      <c r="A170" s="448" t="s">
        <v>402</v>
      </c>
      <c r="B170" s="464">
        <f>VLOOKUP($A170,Table22[],2,FALSE)</f>
        <v>0</v>
      </c>
      <c r="C170" s="732">
        <f>VLOOKUP($A170,Table22[],3,FALSE)</f>
        <v>0</v>
      </c>
      <c r="D170" s="461" t="s">
        <v>1700</v>
      </c>
      <c r="E170" s="447" t="s">
        <v>284</v>
      </c>
      <c r="F170" s="453">
        <f t="shared" si="11"/>
        <v>0</v>
      </c>
      <c r="G170" s="453">
        <f t="shared" si="11"/>
        <v>0</v>
      </c>
    </row>
    <row r="171" spans="1:7" ht="22.05" customHeight="1" x14ac:dyDescent="0.2">
      <c r="A171" s="448" t="s">
        <v>403</v>
      </c>
      <c r="B171" s="464">
        <f>VLOOKUP($A171,Table22[],2,FALSE)</f>
        <v>0</v>
      </c>
      <c r="C171" s="732">
        <f>VLOOKUP($A171,Table22[],3,FALSE)</f>
        <v>0</v>
      </c>
      <c r="D171" s="461" t="s">
        <v>1700</v>
      </c>
      <c r="E171" s="447" t="s">
        <v>285</v>
      </c>
      <c r="F171" s="453">
        <f t="shared" si="11"/>
        <v>0</v>
      </c>
      <c r="G171" s="453">
        <f t="shared" si="11"/>
        <v>0</v>
      </c>
    </row>
    <row r="172" spans="1:7" ht="22.05" customHeight="1" x14ac:dyDescent="0.2">
      <c r="A172" s="448" t="s">
        <v>404</v>
      </c>
      <c r="B172" s="464">
        <f>VLOOKUP($A172,Table22[],2,FALSE)</f>
        <v>0</v>
      </c>
      <c r="C172" s="732">
        <f>VLOOKUP($A172,Table22[],3,FALSE)</f>
        <v>0</v>
      </c>
      <c r="D172" s="461" t="s">
        <v>1700</v>
      </c>
      <c r="E172" s="447" t="s">
        <v>286</v>
      </c>
      <c r="F172" s="453">
        <f t="shared" si="11"/>
        <v>0</v>
      </c>
      <c r="G172" s="453">
        <f t="shared" si="11"/>
        <v>0</v>
      </c>
    </row>
    <row r="173" spans="1:7" ht="22.05" customHeight="1" x14ac:dyDescent="0.2">
      <c r="A173" s="448" t="s">
        <v>405</v>
      </c>
      <c r="B173" s="464">
        <f>VLOOKUP($A173,Table22[],2,FALSE)</f>
        <v>0</v>
      </c>
      <c r="C173" s="732">
        <f>VLOOKUP($A173,Table22[],3,FALSE)</f>
        <v>0</v>
      </c>
      <c r="D173" s="461" t="s">
        <v>1700</v>
      </c>
      <c r="E173" s="447" t="s">
        <v>1064</v>
      </c>
      <c r="F173" s="453">
        <f t="shared" si="11"/>
        <v>0</v>
      </c>
      <c r="G173" s="453">
        <f t="shared" si="11"/>
        <v>0</v>
      </c>
    </row>
    <row r="174" spans="1:7" ht="22.05" customHeight="1" x14ac:dyDescent="0.2">
      <c r="A174" s="448" t="s">
        <v>406</v>
      </c>
      <c r="B174" s="464">
        <f>VLOOKUP($A174,Table22[],2,FALSE)</f>
        <v>0</v>
      </c>
      <c r="C174" s="732">
        <f>VLOOKUP($A174,Table22[],3,FALSE)</f>
        <v>0</v>
      </c>
      <c r="D174" s="461" t="s">
        <v>1700</v>
      </c>
      <c r="E174" s="447" t="s">
        <v>1065</v>
      </c>
      <c r="F174" s="453">
        <f t="shared" si="11"/>
        <v>0</v>
      </c>
      <c r="G174" s="453">
        <f t="shared" si="11"/>
        <v>0</v>
      </c>
    </row>
    <row r="175" spans="1:7" ht="22.05" customHeight="1" x14ac:dyDescent="0.2">
      <c r="A175" s="448" t="s">
        <v>407</v>
      </c>
      <c r="B175" s="464">
        <f>VLOOKUP($A175,Table22[],2,FALSE)</f>
        <v>0</v>
      </c>
      <c r="C175" s="732">
        <f>VLOOKUP($A175,Table22[],3,FALSE)</f>
        <v>0</v>
      </c>
      <c r="D175" s="461" t="s">
        <v>1701</v>
      </c>
      <c r="E175" s="447"/>
      <c r="F175" s="754"/>
      <c r="G175" s="754"/>
    </row>
    <row r="176" spans="1:7" ht="22.05" customHeight="1" x14ac:dyDescent="0.2">
      <c r="A176" s="448" t="s">
        <v>408</v>
      </c>
      <c r="B176" s="464">
        <f>VLOOKUP($A176,Table22[],2,FALSE)</f>
        <v>0</v>
      </c>
      <c r="C176" s="732">
        <f>VLOOKUP($A176,Table22[],3,FALSE)</f>
        <v>0</v>
      </c>
      <c r="D176" s="461" t="s">
        <v>1700</v>
      </c>
      <c r="E176" s="447" t="s">
        <v>1066</v>
      </c>
      <c r="F176" s="453">
        <f t="shared" ref="F176:G183" si="12">B176</f>
        <v>0</v>
      </c>
      <c r="G176" s="453">
        <f t="shared" si="12"/>
        <v>0</v>
      </c>
    </row>
    <row r="177" spans="1:7" ht="22.05" customHeight="1" x14ac:dyDescent="0.2">
      <c r="A177" s="448" t="s">
        <v>409</v>
      </c>
      <c r="B177" s="464">
        <f>VLOOKUP($A177,Table22[],2,FALSE)</f>
        <v>0</v>
      </c>
      <c r="C177" s="732">
        <f>VLOOKUP($A177,Table22[],3,FALSE)</f>
        <v>0</v>
      </c>
      <c r="D177" s="461" t="s">
        <v>1700</v>
      </c>
      <c r="E177" s="447" t="s">
        <v>1068</v>
      </c>
      <c r="F177" s="453">
        <f t="shared" si="12"/>
        <v>0</v>
      </c>
      <c r="G177" s="453">
        <f t="shared" si="12"/>
        <v>0</v>
      </c>
    </row>
    <row r="178" spans="1:7" ht="22.05" customHeight="1" x14ac:dyDescent="0.2">
      <c r="A178" s="448" t="s">
        <v>411</v>
      </c>
      <c r="B178" s="464">
        <f>VLOOKUP($A178,Table22[],2,FALSE)</f>
        <v>0</v>
      </c>
      <c r="C178" s="732">
        <f>VLOOKUP($A178,Table22[],3,FALSE)</f>
        <v>0</v>
      </c>
      <c r="D178" s="461" t="s">
        <v>1700</v>
      </c>
      <c r="E178" s="447" t="s">
        <v>1069</v>
      </c>
      <c r="F178" s="453">
        <f t="shared" si="12"/>
        <v>0</v>
      </c>
      <c r="G178" s="453">
        <f t="shared" si="12"/>
        <v>0</v>
      </c>
    </row>
    <row r="179" spans="1:7" ht="22.05" customHeight="1" x14ac:dyDescent="0.2">
      <c r="A179" s="448" t="s">
        <v>412</v>
      </c>
      <c r="B179" s="464">
        <f>VLOOKUP($A179,Table22[],2,FALSE)</f>
        <v>0</v>
      </c>
      <c r="C179" s="732">
        <f>VLOOKUP($A179,Table22[],3,FALSE)</f>
        <v>0</v>
      </c>
      <c r="D179" s="461" t="s">
        <v>1700</v>
      </c>
      <c r="E179" s="447" t="s">
        <v>1070</v>
      </c>
      <c r="F179" s="453">
        <f t="shared" si="12"/>
        <v>0</v>
      </c>
      <c r="G179" s="453">
        <f t="shared" si="12"/>
        <v>0</v>
      </c>
    </row>
    <row r="180" spans="1:7" ht="22.05" customHeight="1" x14ac:dyDescent="0.2">
      <c r="A180" s="448" t="s">
        <v>413</v>
      </c>
      <c r="B180" s="464">
        <f>VLOOKUP($A180,Table22[],2,FALSE)</f>
        <v>0</v>
      </c>
      <c r="C180" s="732">
        <f>VLOOKUP($A180,Table22[],3,FALSE)</f>
        <v>0</v>
      </c>
      <c r="D180" s="461" t="s">
        <v>1700</v>
      </c>
      <c r="E180" s="447" t="s">
        <v>399</v>
      </c>
      <c r="F180" s="453">
        <f t="shared" si="12"/>
        <v>0</v>
      </c>
      <c r="G180" s="453">
        <f t="shared" si="12"/>
        <v>0</v>
      </c>
    </row>
    <row r="181" spans="1:7" ht="22.05" customHeight="1" x14ac:dyDescent="0.2">
      <c r="A181" s="448" t="s">
        <v>414</v>
      </c>
      <c r="B181" s="464">
        <f>VLOOKUP($A181,Table22[],2,FALSE)</f>
        <v>0</v>
      </c>
      <c r="C181" s="732">
        <f>VLOOKUP($A181,Table22[],3,FALSE)</f>
        <v>0</v>
      </c>
      <c r="D181" s="461" t="s">
        <v>1700</v>
      </c>
      <c r="E181" s="447" t="s">
        <v>400</v>
      </c>
      <c r="F181" s="453">
        <f t="shared" si="12"/>
        <v>0</v>
      </c>
      <c r="G181" s="453">
        <f t="shared" si="12"/>
        <v>0</v>
      </c>
    </row>
    <row r="182" spans="1:7" ht="22.05" customHeight="1" x14ac:dyDescent="0.2">
      <c r="A182" s="448" t="s">
        <v>415</v>
      </c>
      <c r="B182" s="464">
        <f>VLOOKUP($A182,Table22[],2,FALSE)</f>
        <v>0</v>
      </c>
      <c r="C182" s="732">
        <f>VLOOKUP($A182,Table22[],3,FALSE)</f>
        <v>0</v>
      </c>
      <c r="D182" s="461" t="s">
        <v>1700</v>
      </c>
      <c r="E182" s="447" t="s">
        <v>402</v>
      </c>
      <c r="F182" s="453">
        <f t="shared" si="12"/>
        <v>0</v>
      </c>
      <c r="G182" s="453">
        <f t="shared" si="12"/>
        <v>0</v>
      </c>
    </row>
    <row r="183" spans="1:7" ht="22.05" customHeight="1" x14ac:dyDescent="0.2">
      <c r="A183" s="448" t="s">
        <v>416</v>
      </c>
      <c r="B183" s="464">
        <f>VLOOKUP($A183,Table22[],2,FALSE)</f>
        <v>0</v>
      </c>
      <c r="C183" s="732">
        <f>VLOOKUP($A183,Table22[],3,FALSE)</f>
        <v>0</v>
      </c>
      <c r="D183" s="461" t="s">
        <v>1700</v>
      </c>
      <c r="E183" s="447" t="s">
        <v>403</v>
      </c>
      <c r="F183" s="453">
        <f t="shared" si="12"/>
        <v>0</v>
      </c>
      <c r="G183" s="453">
        <f t="shared" si="12"/>
        <v>0</v>
      </c>
    </row>
    <row r="184" spans="1:7" ht="22.05" customHeight="1" x14ac:dyDescent="0.2">
      <c r="A184" s="448" t="s">
        <v>417</v>
      </c>
      <c r="B184" s="464">
        <f>VLOOKUP($A184,Table22[],2,FALSE)</f>
        <v>0</v>
      </c>
      <c r="C184" s="732">
        <f>VLOOKUP($A184,Table22[],3,FALSE)</f>
        <v>0</v>
      </c>
      <c r="D184" s="461" t="s">
        <v>1699</v>
      </c>
      <c r="E184" s="447" t="s">
        <v>401</v>
      </c>
      <c r="F184" s="453">
        <v>0</v>
      </c>
      <c r="G184" s="453">
        <v>0</v>
      </c>
    </row>
    <row r="185" spans="1:7" ht="22.05" customHeight="1" x14ac:dyDescent="0.2">
      <c r="A185" s="448" t="s">
        <v>418</v>
      </c>
      <c r="B185" s="464">
        <f>VLOOKUP($A185,Table22[],2,FALSE)</f>
        <v>0</v>
      </c>
      <c r="C185" s="732">
        <f>VLOOKUP($A185,Table22[],3,FALSE)</f>
        <v>0</v>
      </c>
      <c r="D185" s="461" t="s">
        <v>1699</v>
      </c>
      <c r="E185" s="447" t="s">
        <v>404</v>
      </c>
      <c r="F185" s="453">
        <v>0</v>
      </c>
      <c r="G185" s="453">
        <v>0</v>
      </c>
    </row>
    <row r="186" spans="1:7" ht="22.05" customHeight="1" x14ac:dyDescent="0.2">
      <c r="A186" s="448" t="s">
        <v>792</v>
      </c>
      <c r="B186" s="464">
        <f>VLOOKUP($A186,Table22[],2,FALSE)</f>
        <v>0</v>
      </c>
      <c r="C186" s="732">
        <f>VLOOKUP($A186,Table22[],3,FALSE)</f>
        <v>0</v>
      </c>
      <c r="D186" s="461" t="s">
        <v>1701</v>
      </c>
      <c r="E186" s="447"/>
      <c r="F186" s="754"/>
      <c r="G186" s="754"/>
    </row>
    <row r="187" spans="1:7" ht="22.05" customHeight="1" x14ac:dyDescent="0.2">
      <c r="A187" s="448" t="s">
        <v>253</v>
      </c>
      <c r="B187" s="464">
        <f>VLOOKUP($A187,Table22[],2,FALSE)</f>
        <v>0</v>
      </c>
      <c r="C187" s="732">
        <f>VLOOKUP($A187,Table22[],3,FALSE)</f>
        <v>0</v>
      </c>
      <c r="D187" s="461" t="s">
        <v>1700</v>
      </c>
      <c r="E187" s="447" t="s">
        <v>253</v>
      </c>
      <c r="F187" s="453">
        <f t="shared" ref="F187:G216" si="13">B187</f>
        <v>0</v>
      </c>
      <c r="G187" s="453">
        <f t="shared" si="13"/>
        <v>0</v>
      </c>
    </row>
    <row r="188" spans="1:7" ht="22.05" customHeight="1" x14ac:dyDescent="0.2">
      <c r="A188" s="448" t="s">
        <v>254</v>
      </c>
      <c r="B188" s="464">
        <f>VLOOKUP($A188,Table22[],2,FALSE)</f>
        <v>0</v>
      </c>
      <c r="C188" s="732">
        <f>VLOOKUP($A188,Table22[],3,FALSE)</f>
        <v>0</v>
      </c>
      <c r="D188" s="461" t="s">
        <v>1700</v>
      </c>
      <c r="E188" s="447" t="s">
        <v>254</v>
      </c>
      <c r="F188" s="453">
        <f t="shared" si="13"/>
        <v>0</v>
      </c>
      <c r="G188" s="453">
        <f t="shared" si="13"/>
        <v>0</v>
      </c>
    </row>
    <row r="189" spans="1:7" ht="22.05" customHeight="1" x14ac:dyDescent="0.2">
      <c r="A189" s="448" t="s">
        <v>255</v>
      </c>
      <c r="B189" s="464">
        <f>VLOOKUP($A189,Table22[],2,FALSE)</f>
        <v>0</v>
      </c>
      <c r="C189" s="732">
        <f>VLOOKUP($A189,Table22[],3,FALSE)</f>
        <v>0</v>
      </c>
      <c r="D189" s="461" t="s">
        <v>1700</v>
      </c>
      <c r="E189" s="447" t="s">
        <v>255</v>
      </c>
      <c r="F189" s="453">
        <f t="shared" si="13"/>
        <v>0</v>
      </c>
      <c r="G189" s="453">
        <f t="shared" si="13"/>
        <v>0</v>
      </c>
    </row>
    <row r="190" spans="1:7" ht="22.05" customHeight="1" x14ac:dyDescent="0.2">
      <c r="A190" s="448" t="s">
        <v>256</v>
      </c>
      <c r="B190" s="464">
        <f>VLOOKUP($A190,Table22[],2,FALSE)</f>
        <v>0</v>
      </c>
      <c r="C190" s="732">
        <f>VLOOKUP($A190,Table22[],3,FALSE)</f>
        <v>0</v>
      </c>
      <c r="D190" s="461" t="s">
        <v>1700</v>
      </c>
      <c r="E190" s="447" t="s">
        <v>256</v>
      </c>
      <c r="F190" s="453">
        <f t="shared" si="13"/>
        <v>0</v>
      </c>
      <c r="G190" s="453">
        <f t="shared" si="13"/>
        <v>0</v>
      </c>
    </row>
    <row r="191" spans="1:7" ht="22.05" customHeight="1" x14ac:dyDescent="0.2">
      <c r="A191" s="448" t="s">
        <v>257</v>
      </c>
      <c r="B191" s="464">
        <f>VLOOKUP($A191,Table22[],2,FALSE)</f>
        <v>0</v>
      </c>
      <c r="C191" s="732">
        <f>VLOOKUP($A191,Table22[],3,FALSE)</f>
        <v>0</v>
      </c>
      <c r="D191" s="461" t="s">
        <v>1700</v>
      </c>
      <c r="E191" s="447" t="s">
        <v>257</v>
      </c>
      <c r="F191" s="453">
        <f t="shared" si="13"/>
        <v>0</v>
      </c>
      <c r="G191" s="453">
        <f t="shared" si="13"/>
        <v>0</v>
      </c>
    </row>
    <row r="192" spans="1:7" ht="22.05" customHeight="1" x14ac:dyDescent="0.2">
      <c r="A192" s="448" t="s">
        <v>258</v>
      </c>
      <c r="B192" s="464">
        <f>VLOOKUP($A192,Table22[],2,FALSE)</f>
        <v>0</v>
      </c>
      <c r="C192" s="732">
        <f>VLOOKUP($A192,Table22[],3,FALSE)</f>
        <v>0</v>
      </c>
      <c r="D192" s="461" t="s">
        <v>1700</v>
      </c>
      <c r="E192" s="447" t="s">
        <v>258</v>
      </c>
      <c r="F192" s="453">
        <f t="shared" si="13"/>
        <v>0</v>
      </c>
      <c r="G192" s="453">
        <f t="shared" si="13"/>
        <v>0</v>
      </c>
    </row>
    <row r="193" spans="1:7" ht="22.05" customHeight="1" x14ac:dyDescent="0.2">
      <c r="A193" s="448" t="s">
        <v>259</v>
      </c>
      <c r="B193" s="464">
        <f>VLOOKUP($A193,Table22[],2,FALSE)</f>
        <v>0</v>
      </c>
      <c r="C193" s="732">
        <f>VLOOKUP($A193,Table22[],3,FALSE)</f>
        <v>0</v>
      </c>
      <c r="D193" s="461" t="s">
        <v>1700</v>
      </c>
      <c r="E193" s="447" t="s">
        <v>259</v>
      </c>
      <c r="F193" s="453">
        <f t="shared" si="13"/>
        <v>0</v>
      </c>
      <c r="G193" s="453">
        <f t="shared" si="13"/>
        <v>0</v>
      </c>
    </row>
    <row r="194" spans="1:7" ht="22.05" customHeight="1" x14ac:dyDescent="0.2">
      <c r="A194" s="448" t="s">
        <v>260</v>
      </c>
      <c r="B194" s="464">
        <f>VLOOKUP($A194,Table22[],2,FALSE)</f>
        <v>0</v>
      </c>
      <c r="C194" s="732">
        <f>VLOOKUP($A194,Table22[],3,FALSE)</f>
        <v>0</v>
      </c>
      <c r="D194" s="461" t="s">
        <v>1700</v>
      </c>
      <c r="E194" s="447" t="s">
        <v>260</v>
      </c>
      <c r="F194" s="453">
        <f t="shared" si="13"/>
        <v>0</v>
      </c>
      <c r="G194" s="453">
        <f t="shared" si="13"/>
        <v>0</v>
      </c>
    </row>
    <row r="195" spans="1:7" ht="22.05" customHeight="1" x14ac:dyDescent="0.2">
      <c r="A195" s="448" t="s">
        <v>261</v>
      </c>
      <c r="B195" s="464">
        <f>VLOOKUP($A195,Table22[],2,FALSE)</f>
        <v>0</v>
      </c>
      <c r="C195" s="732">
        <f>VLOOKUP($A195,Table22[],3,FALSE)</f>
        <v>0</v>
      </c>
      <c r="D195" s="461" t="s">
        <v>1700</v>
      </c>
      <c r="E195" s="447" t="s">
        <v>261</v>
      </c>
      <c r="F195" s="453">
        <f t="shared" si="13"/>
        <v>0</v>
      </c>
      <c r="G195" s="453">
        <f t="shared" si="13"/>
        <v>0</v>
      </c>
    </row>
    <row r="196" spans="1:7" ht="22.05" customHeight="1" x14ac:dyDescent="0.2">
      <c r="A196" s="448" t="s">
        <v>262</v>
      </c>
      <c r="B196" s="464">
        <f>VLOOKUP($A196,Table22[],2,FALSE)</f>
        <v>0</v>
      </c>
      <c r="C196" s="732">
        <f>VLOOKUP($A196,Table22[],3,FALSE)</f>
        <v>0</v>
      </c>
      <c r="D196" s="461" t="s">
        <v>1700</v>
      </c>
      <c r="E196" s="447" t="s">
        <v>263</v>
      </c>
      <c r="F196" s="453">
        <f t="shared" si="13"/>
        <v>0</v>
      </c>
      <c r="G196" s="453">
        <f t="shared" si="13"/>
        <v>0</v>
      </c>
    </row>
    <row r="197" spans="1:7" ht="22.05" customHeight="1" x14ac:dyDescent="0.2">
      <c r="A197" s="448" t="s">
        <v>263</v>
      </c>
      <c r="B197" s="464">
        <f>VLOOKUP($A197,Table22[],2,FALSE)</f>
        <v>0</v>
      </c>
      <c r="C197" s="732">
        <f>VLOOKUP($A197,Table22[],3,FALSE)</f>
        <v>0</v>
      </c>
      <c r="D197" s="461" t="s">
        <v>1700</v>
      </c>
      <c r="E197" s="447" t="s">
        <v>262</v>
      </c>
      <c r="F197" s="453">
        <f t="shared" si="13"/>
        <v>0</v>
      </c>
      <c r="G197" s="453">
        <f t="shared" si="13"/>
        <v>0</v>
      </c>
    </row>
    <row r="198" spans="1:7" ht="22.05" customHeight="1" x14ac:dyDescent="0.2">
      <c r="A198" s="448" t="s">
        <v>264</v>
      </c>
      <c r="B198" s="464">
        <f>VLOOKUP($A198,Table22[],2,FALSE)</f>
        <v>0</v>
      </c>
      <c r="C198" s="732">
        <f>VLOOKUP($A198,Table22[],3,FALSE)</f>
        <v>0</v>
      </c>
      <c r="D198" s="461" t="s">
        <v>1700</v>
      </c>
      <c r="E198" s="447" t="s">
        <v>264</v>
      </c>
      <c r="F198" s="453">
        <f t="shared" si="13"/>
        <v>0</v>
      </c>
      <c r="G198" s="453">
        <f t="shared" si="13"/>
        <v>0</v>
      </c>
    </row>
    <row r="199" spans="1:7" ht="22.05" customHeight="1" x14ac:dyDescent="0.2">
      <c r="A199" s="448" t="s">
        <v>265</v>
      </c>
      <c r="B199" s="464">
        <f>VLOOKUP($A199,Table22[],2,FALSE)</f>
        <v>0</v>
      </c>
      <c r="C199" s="732">
        <f>VLOOKUP($A199,Table22[],3,FALSE)</f>
        <v>0</v>
      </c>
      <c r="D199" s="461" t="s">
        <v>1700</v>
      </c>
      <c r="E199" s="447" t="s">
        <v>265</v>
      </c>
      <c r="F199" s="453">
        <f t="shared" si="13"/>
        <v>0</v>
      </c>
      <c r="G199" s="453">
        <f t="shared" si="13"/>
        <v>0</v>
      </c>
    </row>
    <row r="200" spans="1:7" ht="22.05" customHeight="1" x14ac:dyDescent="0.2">
      <c r="A200" s="448" t="s">
        <v>266</v>
      </c>
      <c r="B200" s="464">
        <f>VLOOKUP($A200,Table22[],2,FALSE)</f>
        <v>0</v>
      </c>
      <c r="C200" s="732">
        <f>VLOOKUP($A200,Table22[],3,FALSE)</f>
        <v>0</v>
      </c>
      <c r="D200" s="461" t="s">
        <v>1700</v>
      </c>
      <c r="E200" s="447" t="s">
        <v>266</v>
      </c>
      <c r="F200" s="453">
        <f t="shared" si="13"/>
        <v>0</v>
      </c>
      <c r="G200" s="453">
        <f t="shared" si="13"/>
        <v>0</v>
      </c>
    </row>
    <row r="201" spans="1:7" ht="22.05" customHeight="1" x14ac:dyDescent="0.2">
      <c r="A201" s="448" t="s">
        <v>267</v>
      </c>
      <c r="B201" s="464">
        <f>VLOOKUP($A201,Table22[],2,FALSE)</f>
        <v>0</v>
      </c>
      <c r="C201" s="732">
        <f>VLOOKUP($A201,Table22[],3,FALSE)</f>
        <v>0</v>
      </c>
      <c r="D201" s="461" t="s">
        <v>1700</v>
      </c>
      <c r="E201" s="447" t="s">
        <v>267</v>
      </c>
      <c r="F201" s="453">
        <f t="shared" si="13"/>
        <v>0</v>
      </c>
      <c r="G201" s="453">
        <f t="shared" si="13"/>
        <v>0</v>
      </c>
    </row>
    <row r="202" spans="1:7" ht="22.05" customHeight="1" x14ac:dyDescent="0.2">
      <c r="A202" s="448" t="s">
        <v>268</v>
      </c>
      <c r="B202" s="464">
        <f>VLOOKUP($A202,Table22[],2,FALSE)</f>
        <v>0</v>
      </c>
      <c r="C202" s="732">
        <f>VLOOKUP($A202,Table22[],3,FALSE)</f>
        <v>0</v>
      </c>
      <c r="D202" s="461" t="s">
        <v>1700</v>
      </c>
      <c r="E202" s="447" t="s">
        <v>268</v>
      </c>
      <c r="F202" s="453">
        <f t="shared" si="13"/>
        <v>0</v>
      </c>
      <c r="G202" s="453">
        <f t="shared" si="13"/>
        <v>0</v>
      </c>
    </row>
    <row r="203" spans="1:7" ht="22.05" customHeight="1" x14ac:dyDescent="0.2">
      <c r="A203" s="448" t="s">
        <v>269</v>
      </c>
      <c r="B203" s="464">
        <f>VLOOKUP($A203,Table22[],2,FALSE)</f>
        <v>0</v>
      </c>
      <c r="C203" s="732">
        <f>VLOOKUP($A203,Table22[],3,FALSE)</f>
        <v>0</v>
      </c>
      <c r="D203" s="461" t="s">
        <v>1700</v>
      </c>
      <c r="E203" s="447" t="s">
        <v>269</v>
      </c>
      <c r="F203" s="453">
        <f t="shared" si="13"/>
        <v>0</v>
      </c>
      <c r="G203" s="453">
        <f t="shared" si="13"/>
        <v>0</v>
      </c>
    </row>
    <row r="204" spans="1:7" ht="22.05" customHeight="1" x14ac:dyDescent="0.2">
      <c r="A204" s="448" t="s">
        <v>270</v>
      </c>
      <c r="B204" s="464">
        <f>VLOOKUP($A204,Table22[],2,FALSE)</f>
        <v>0</v>
      </c>
      <c r="C204" s="732">
        <f>VLOOKUP($A204,Table22[],3,FALSE)</f>
        <v>0</v>
      </c>
      <c r="D204" s="461" t="s">
        <v>1700</v>
      </c>
      <c r="E204" s="447" t="s">
        <v>270</v>
      </c>
      <c r="F204" s="453">
        <f t="shared" si="13"/>
        <v>0</v>
      </c>
      <c r="G204" s="453">
        <f t="shared" si="13"/>
        <v>0</v>
      </c>
    </row>
    <row r="205" spans="1:7" ht="22.05" customHeight="1" x14ac:dyDescent="0.2">
      <c r="A205" s="448" t="s">
        <v>271</v>
      </c>
      <c r="B205" s="464">
        <f>VLOOKUP($A205,Table22[],2,FALSE)</f>
        <v>0</v>
      </c>
      <c r="C205" s="732">
        <f>VLOOKUP($A205,Table22[],3,FALSE)</f>
        <v>0</v>
      </c>
      <c r="D205" s="461" t="s">
        <v>1700</v>
      </c>
      <c r="E205" s="447" t="s">
        <v>271</v>
      </c>
      <c r="F205" s="453">
        <f t="shared" si="13"/>
        <v>0</v>
      </c>
      <c r="G205" s="453">
        <f t="shared" si="13"/>
        <v>0</v>
      </c>
    </row>
    <row r="206" spans="1:7" ht="22.05" customHeight="1" x14ac:dyDescent="0.2">
      <c r="A206" s="448" t="s">
        <v>272</v>
      </c>
      <c r="B206" s="464">
        <f>VLOOKUP($A206,Table22[],2,FALSE)</f>
        <v>0</v>
      </c>
      <c r="C206" s="732">
        <f>VLOOKUP($A206,Table22[],3,FALSE)</f>
        <v>0</v>
      </c>
      <c r="D206" s="461" t="s">
        <v>1700</v>
      </c>
      <c r="E206" s="447" t="s">
        <v>272</v>
      </c>
      <c r="F206" s="453">
        <f t="shared" si="13"/>
        <v>0</v>
      </c>
      <c r="G206" s="453">
        <f t="shared" si="13"/>
        <v>0</v>
      </c>
    </row>
    <row r="207" spans="1:7" ht="22.05" customHeight="1" x14ac:dyDescent="0.2">
      <c r="A207" s="448" t="s">
        <v>273</v>
      </c>
      <c r="B207" s="464">
        <f>VLOOKUP($A207,Table22[],2,FALSE)</f>
        <v>0</v>
      </c>
      <c r="C207" s="732">
        <f>VLOOKUP($A207,Table22[],3,FALSE)</f>
        <v>0</v>
      </c>
      <c r="D207" s="461" t="s">
        <v>1700</v>
      </c>
      <c r="E207" s="447" t="s">
        <v>273</v>
      </c>
      <c r="F207" s="453">
        <f t="shared" si="13"/>
        <v>0</v>
      </c>
      <c r="G207" s="453">
        <f t="shared" si="13"/>
        <v>0</v>
      </c>
    </row>
    <row r="208" spans="1:7" ht="22.05" customHeight="1" x14ac:dyDescent="0.2">
      <c r="A208" s="448" t="s">
        <v>274</v>
      </c>
      <c r="B208" s="464">
        <f>VLOOKUP($A208,Table22[],2,FALSE)</f>
        <v>0</v>
      </c>
      <c r="C208" s="732">
        <f>VLOOKUP($A208,Table22[],3,FALSE)</f>
        <v>0</v>
      </c>
      <c r="D208" s="461" t="s">
        <v>1700</v>
      </c>
      <c r="E208" s="447" t="s">
        <v>274</v>
      </c>
      <c r="F208" s="453">
        <f t="shared" si="13"/>
        <v>0</v>
      </c>
      <c r="G208" s="453">
        <f t="shared" si="13"/>
        <v>0</v>
      </c>
    </row>
    <row r="209" spans="1:7" ht="22.05" customHeight="1" x14ac:dyDescent="0.2">
      <c r="A209" s="448" t="s">
        <v>274</v>
      </c>
      <c r="B209" s="464">
        <f>VLOOKUP($A209,Table22[],2,FALSE)</f>
        <v>0</v>
      </c>
      <c r="C209" s="732">
        <f>VLOOKUP($A209,Table22[],3,FALSE)</f>
        <v>0</v>
      </c>
      <c r="D209" s="461" t="s">
        <v>1700</v>
      </c>
      <c r="E209" s="447" t="s">
        <v>275</v>
      </c>
      <c r="F209" s="453">
        <f t="shared" si="13"/>
        <v>0</v>
      </c>
      <c r="G209" s="453">
        <f t="shared" si="13"/>
        <v>0</v>
      </c>
    </row>
    <row r="210" spans="1:7" ht="22.05" customHeight="1" x14ac:dyDescent="0.2">
      <c r="A210" s="448" t="s">
        <v>275</v>
      </c>
      <c r="B210" s="464">
        <f>VLOOKUP($A210,Table22[],2,FALSE)</f>
        <v>0</v>
      </c>
      <c r="C210" s="732">
        <f>VLOOKUP($A210,Table22[],3,FALSE)</f>
        <v>0</v>
      </c>
      <c r="D210" s="461" t="s">
        <v>1700</v>
      </c>
      <c r="E210" s="447" t="s">
        <v>276</v>
      </c>
      <c r="F210" s="453">
        <f t="shared" si="13"/>
        <v>0</v>
      </c>
      <c r="G210" s="453">
        <f t="shared" si="13"/>
        <v>0</v>
      </c>
    </row>
    <row r="211" spans="1:7" ht="22.05" customHeight="1" x14ac:dyDescent="0.2">
      <c r="A211" s="448" t="s">
        <v>276</v>
      </c>
      <c r="B211" s="464">
        <f>VLOOKUP($A211,Table22[],2,FALSE)</f>
        <v>0</v>
      </c>
      <c r="C211" s="732">
        <f>VLOOKUP($A211,Table22[],3,FALSE)</f>
        <v>0</v>
      </c>
      <c r="D211" s="461" t="s">
        <v>1700</v>
      </c>
      <c r="E211" s="447" t="s">
        <v>278</v>
      </c>
      <c r="F211" s="453">
        <f t="shared" si="13"/>
        <v>0</v>
      </c>
      <c r="G211" s="453">
        <f t="shared" si="13"/>
        <v>0</v>
      </c>
    </row>
    <row r="212" spans="1:7" ht="22.05" customHeight="1" x14ac:dyDescent="0.2">
      <c r="A212" s="448" t="s">
        <v>278</v>
      </c>
      <c r="B212" s="464">
        <f>VLOOKUP($A212,Table22[],2,FALSE)</f>
        <v>0</v>
      </c>
      <c r="C212" s="732">
        <f>VLOOKUP($A212,Table22[],3,FALSE)</f>
        <v>0</v>
      </c>
      <c r="D212" s="461" t="s">
        <v>1700</v>
      </c>
      <c r="E212" s="447" t="s">
        <v>1060</v>
      </c>
      <c r="F212" s="453">
        <f t="shared" si="13"/>
        <v>0</v>
      </c>
      <c r="G212" s="453">
        <f t="shared" si="13"/>
        <v>0</v>
      </c>
    </row>
    <row r="213" spans="1:7" ht="22.05" customHeight="1" x14ac:dyDescent="0.2">
      <c r="A213" s="448" t="s">
        <v>280</v>
      </c>
      <c r="B213" s="464">
        <f>VLOOKUP($A213,Table22[],2,FALSE)</f>
        <v>0</v>
      </c>
      <c r="C213" s="732">
        <f>VLOOKUP($A213,Table22[],3,FALSE)</f>
        <v>0</v>
      </c>
      <c r="D213" s="461" t="s">
        <v>1700</v>
      </c>
      <c r="E213" s="447" t="s">
        <v>1071</v>
      </c>
      <c r="F213" s="453">
        <f t="shared" si="13"/>
        <v>0</v>
      </c>
      <c r="G213" s="453">
        <f t="shared" si="13"/>
        <v>0</v>
      </c>
    </row>
    <row r="214" spans="1:7" ht="22.05" customHeight="1" x14ac:dyDescent="0.2">
      <c r="A214" s="448" t="s">
        <v>281</v>
      </c>
      <c r="B214" s="464">
        <f>VLOOKUP($A214,Table22[],2,FALSE)</f>
        <v>0</v>
      </c>
      <c r="C214" s="732">
        <f>VLOOKUP($A214,Table22[],3,FALSE)</f>
        <v>0</v>
      </c>
      <c r="D214" s="461" t="s">
        <v>1700</v>
      </c>
      <c r="E214" s="447" t="s">
        <v>1072</v>
      </c>
      <c r="F214" s="453">
        <f t="shared" si="13"/>
        <v>0</v>
      </c>
      <c r="G214" s="453">
        <f t="shared" si="13"/>
        <v>0</v>
      </c>
    </row>
    <row r="215" spans="1:7" ht="22.05" customHeight="1" x14ac:dyDescent="0.2">
      <c r="A215" s="448" t="s">
        <v>282</v>
      </c>
      <c r="B215" s="464">
        <f>VLOOKUP($A215,Table22[],2,FALSE)</f>
        <v>0</v>
      </c>
      <c r="C215" s="732">
        <f>VLOOKUP($A215,Table22[],3,FALSE)</f>
        <v>0</v>
      </c>
      <c r="D215" s="461" t="s">
        <v>1700</v>
      </c>
      <c r="E215" s="447" t="s">
        <v>1074</v>
      </c>
      <c r="F215" s="453">
        <f t="shared" si="13"/>
        <v>0</v>
      </c>
      <c r="G215" s="453">
        <f t="shared" si="13"/>
        <v>0</v>
      </c>
    </row>
    <row r="216" spans="1:7" ht="22.05" customHeight="1" x14ac:dyDescent="0.2">
      <c r="A216" s="448" t="s">
        <v>283</v>
      </c>
      <c r="B216" s="464">
        <f>VLOOKUP($A216,Table22[],2,FALSE)</f>
        <v>0</v>
      </c>
      <c r="C216" s="732">
        <f>VLOOKUP($A216,Table22[],3,FALSE)</f>
        <v>0</v>
      </c>
      <c r="D216" s="461" t="s">
        <v>1700</v>
      </c>
      <c r="E216" s="447" t="s">
        <v>1075</v>
      </c>
      <c r="F216" s="453">
        <f t="shared" si="13"/>
        <v>0</v>
      </c>
      <c r="G216" s="453">
        <f t="shared" si="13"/>
        <v>0</v>
      </c>
    </row>
    <row r="217" spans="1:7" ht="22.05" customHeight="1" x14ac:dyDescent="0.2">
      <c r="A217" s="448" t="s">
        <v>284</v>
      </c>
      <c r="B217" s="464">
        <f>VLOOKUP($A217,Table22[],2,FALSE)</f>
        <v>0</v>
      </c>
      <c r="C217" s="732">
        <f>VLOOKUP($A217,Table22[],3,FALSE)</f>
        <v>0</v>
      </c>
      <c r="D217" s="461" t="s">
        <v>1699</v>
      </c>
      <c r="E217" s="447" t="s">
        <v>1073</v>
      </c>
      <c r="F217" s="453">
        <v>0</v>
      </c>
      <c r="G217" s="453">
        <v>0</v>
      </c>
    </row>
    <row r="218" spans="1:7" ht="22.05" customHeight="1" x14ac:dyDescent="0.2">
      <c r="A218" s="448" t="s">
        <v>285</v>
      </c>
      <c r="B218" s="464">
        <f>VLOOKUP($A218,Table22[],2,FALSE)</f>
        <v>0</v>
      </c>
      <c r="C218" s="732">
        <f>VLOOKUP($A218,Table22[],3,FALSE)</f>
        <v>0</v>
      </c>
      <c r="D218" s="461" t="s">
        <v>1699</v>
      </c>
      <c r="E218" s="447" t="s">
        <v>1076</v>
      </c>
      <c r="F218" s="453">
        <v>0</v>
      </c>
      <c r="G218" s="453">
        <v>0</v>
      </c>
    </row>
    <row r="219" spans="1:7" ht="22.05" customHeight="1" x14ac:dyDescent="0.2">
      <c r="A219" s="448" t="s">
        <v>286</v>
      </c>
      <c r="B219" s="464">
        <f>VLOOKUP($A219,Table22[],2,FALSE)</f>
        <v>0</v>
      </c>
      <c r="C219" s="732">
        <f>VLOOKUP($A219,Table22[],3,FALSE)</f>
        <v>0</v>
      </c>
      <c r="D219" s="461" t="s">
        <v>1701</v>
      </c>
      <c r="E219" s="447"/>
      <c r="F219" s="754"/>
      <c r="G219" s="754"/>
    </row>
    <row r="220" spans="1:7" ht="22.05" customHeight="1" x14ac:dyDescent="0.2">
      <c r="A220" s="448" t="s">
        <v>41</v>
      </c>
      <c r="B220" s="464">
        <f>VLOOKUP($A220,Table22[],2,FALSE)</f>
        <v>0</v>
      </c>
      <c r="C220" s="732">
        <f>VLOOKUP($A220,Table22[],3,FALSE)</f>
        <v>0</v>
      </c>
      <c r="D220" s="461" t="s">
        <v>1700</v>
      </c>
      <c r="E220" s="447" t="s">
        <v>60</v>
      </c>
      <c r="F220" s="453">
        <f>B220</f>
        <v>0</v>
      </c>
      <c r="G220" s="453">
        <f>C220</f>
        <v>0</v>
      </c>
    </row>
    <row r="221" spans="1:7" ht="22.05" customHeight="1" x14ac:dyDescent="0.2">
      <c r="A221" s="448" t="s">
        <v>42</v>
      </c>
      <c r="B221" s="464">
        <f>VLOOKUP($A221,Table22[],2,FALSE)</f>
        <v>0</v>
      </c>
      <c r="C221" s="732">
        <f>VLOOKUP($A221,Table22[],3,FALSE)</f>
        <v>0</v>
      </c>
      <c r="D221" s="461" t="s">
        <v>1699</v>
      </c>
      <c r="E221" s="447" t="s">
        <v>1039</v>
      </c>
      <c r="F221" s="453">
        <v>0</v>
      </c>
      <c r="G221" s="453">
        <v>0</v>
      </c>
    </row>
    <row r="222" spans="1:7" ht="22.05" customHeight="1" x14ac:dyDescent="0.2">
      <c r="A222" s="448" t="s">
        <v>43</v>
      </c>
      <c r="B222" s="464">
        <f>VLOOKUP($A222,Table22[],2,FALSE)</f>
        <v>0</v>
      </c>
      <c r="C222" s="732">
        <f>VLOOKUP($A222,Table22[],3,FALSE)</f>
        <v>0</v>
      </c>
      <c r="D222" s="461" t="s">
        <v>1699</v>
      </c>
      <c r="E222" s="447" t="s">
        <v>1032</v>
      </c>
      <c r="F222" s="453">
        <v>0</v>
      </c>
      <c r="G222" s="453">
        <v>0</v>
      </c>
    </row>
    <row r="223" spans="1:7" ht="22.05" customHeight="1" x14ac:dyDescent="0.2">
      <c r="A223" s="448" t="s">
        <v>45</v>
      </c>
      <c r="B223" s="464">
        <f>VLOOKUP($A223,Table22[],2,FALSE)</f>
        <v>0</v>
      </c>
      <c r="C223" s="732">
        <f>VLOOKUP($A223,Table22[],3,FALSE)</f>
        <v>0</v>
      </c>
      <c r="D223" s="461" t="s">
        <v>1699</v>
      </c>
      <c r="E223" s="447" t="s">
        <v>70</v>
      </c>
      <c r="F223" s="453">
        <v>0</v>
      </c>
      <c r="G223" s="453">
        <v>0</v>
      </c>
    </row>
    <row r="224" spans="1:7" ht="22.05" customHeight="1" x14ac:dyDescent="0.2">
      <c r="A224" s="448" t="s">
        <v>47</v>
      </c>
      <c r="B224" s="464">
        <f>VLOOKUP($A224,Table22[],2,FALSE)</f>
        <v>0</v>
      </c>
      <c r="C224" s="732">
        <f>VLOOKUP($A224,Table22[],3,FALSE)</f>
        <v>0</v>
      </c>
      <c r="D224" s="461" t="s">
        <v>1699</v>
      </c>
      <c r="E224" s="447" t="s">
        <v>72</v>
      </c>
      <c r="F224" s="453">
        <v>0</v>
      </c>
      <c r="G224" s="453">
        <v>0</v>
      </c>
    </row>
    <row r="225" spans="1:7" ht="22.05" customHeight="1" x14ac:dyDescent="0.2">
      <c r="A225" s="448" t="s">
        <v>49</v>
      </c>
      <c r="B225" s="464">
        <f>VLOOKUP($A225,Table22[],2,FALSE)</f>
        <v>0</v>
      </c>
      <c r="C225" s="732">
        <f>VLOOKUP($A225,Table22[],3,FALSE)</f>
        <v>0</v>
      </c>
      <c r="D225" s="461" t="s">
        <v>1699</v>
      </c>
      <c r="E225" s="447" t="s">
        <v>85</v>
      </c>
      <c r="F225" s="453">
        <v>0</v>
      </c>
      <c r="G225" s="453">
        <v>0</v>
      </c>
    </row>
    <row r="226" spans="1:7" ht="22.05" customHeight="1" x14ac:dyDescent="0.2">
      <c r="A226" s="448" t="s">
        <v>51</v>
      </c>
      <c r="B226" s="464">
        <f>VLOOKUP($A226,Table22[],2,FALSE)</f>
        <v>0</v>
      </c>
      <c r="C226" s="732">
        <f>VLOOKUP($A226,Table22[],3,FALSE)</f>
        <v>0</v>
      </c>
      <c r="D226" s="461" t="s">
        <v>1699</v>
      </c>
      <c r="E226" s="447" t="s">
        <v>1033</v>
      </c>
      <c r="F226" s="453">
        <v>0</v>
      </c>
      <c r="G226" s="453">
        <v>0</v>
      </c>
    </row>
    <row r="227" spans="1:7" ht="22.05" customHeight="1" x14ac:dyDescent="0.2">
      <c r="A227" s="448" t="s">
        <v>53</v>
      </c>
      <c r="B227" s="464">
        <f>VLOOKUP($A227,Table22[],2,FALSE)</f>
        <v>0</v>
      </c>
      <c r="C227" s="732">
        <f>VLOOKUP($A227,Table22[],3,FALSE)</f>
        <v>0</v>
      </c>
      <c r="D227" s="461" t="s">
        <v>1699</v>
      </c>
      <c r="E227" s="447" t="s">
        <v>47</v>
      </c>
      <c r="F227" s="453">
        <v>0</v>
      </c>
      <c r="G227" s="453">
        <v>0</v>
      </c>
    </row>
    <row r="228" spans="1:7" ht="22.05" customHeight="1" x14ac:dyDescent="0.2">
      <c r="A228" s="448" t="s">
        <v>55</v>
      </c>
      <c r="B228" s="464">
        <f>VLOOKUP($A228,Table22[],2,FALSE)</f>
        <v>0</v>
      </c>
      <c r="C228" s="732">
        <f>VLOOKUP($A228,Table22[],3,FALSE)</f>
        <v>0</v>
      </c>
      <c r="D228" s="461" t="s">
        <v>1699</v>
      </c>
      <c r="E228" s="447" t="s">
        <v>1037</v>
      </c>
      <c r="F228" s="453">
        <v>0</v>
      </c>
      <c r="G228" s="453">
        <v>0</v>
      </c>
    </row>
    <row r="229" spans="1:7" ht="22.05" customHeight="1" x14ac:dyDescent="0.2">
      <c r="A229" s="448" t="s">
        <v>58</v>
      </c>
      <c r="B229" s="464">
        <f>VLOOKUP($A229,Table22[],2,FALSE)</f>
        <v>0</v>
      </c>
      <c r="C229" s="732">
        <f>VLOOKUP($A229,Table22[],3,FALSE)</f>
        <v>0</v>
      </c>
      <c r="D229" s="461" t="s">
        <v>1701</v>
      </c>
      <c r="E229" s="447"/>
      <c r="F229" s="754"/>
      <c r="G229" s="754"/>
    </row>
    <row r="230" spans="1:7" ht="22.05" customHeight="1" x14ac:dyDescent="0.2">
      <c r="A230" s="448" t="s">
        <v>60</v>
      </c>
      <c r="B230" s="464">
        <f>VLOOKUP($A230,Table22[],2,FALSE)</f>
        <v>0</v>
      </c>
      <c r="C230" s="732">
        <f>VLOOKUP($A230,Table22[],3,FALSE)</f>
        <v>0</v>
      </c>
      <c r="D230" s="461" t="s">
        <v>1699</v>
      </c>
      <c r="E230" s="447" t="s">
        <v>41</v>
      </c>
      <c r="F230" s="453">
        <v>0</v>
      </c>
      <c r="G230" s="453">
        <v>0</v>
      </c>
    </row>
    <row r="231" spans="1:7" ht="22.05" customHeight="1" x14ac:dyDescent="0.2">
      <c r="A231" s="448" t="s">
        <v>62</v>
      </c>
      <c r="B231" s="464">
        <f>VLOOKUP($A231,Table22[],2,FALSE)</f>
        <v>0</v>
      </c>
      <c r="C231" s="732">
        <f>VLOOKUP($A231,Table22[],3,FALSE)</f>
        <v>0</v>
      </c>
      <c r="D231" s="461" t="s">
        <v>1699</v>
      </c>
      <c r="E231" s="447" t="s">
        <v>75</v>
      </c>
      <c r="F231" s="453">
        <v>0</v>
      </c>
      <c r="G231" s="453">
        <v>0</v>
      </c>
    </row>
    <row r="232" spans="1:7" ht="22.05" customHeight="1" x14ac:dyDescent="0.2">
      <c r="A232" s="448" t="s">
        <v>64</v>
      </c>
      <c r="B232" s="464">
        <f>VLOOKUP($A232,Table22[],2,FALSE)</f>
        <v>0</v>
      </c>
      <c r="C232" s="732">
        <f>VLOOKUP($A232,Table22[],3,FALSE)</f>
        <v>0</v>
      </c>
      <c r="D232" s="461" t="s">
        <v>1699</v>
      </c>
      <c r="E232" s="447" t="s">
        <v>1040</v>
      </c>
      <c r="F232" s="453">
        <v>0</v>
      </c>
      <c r="G232" s="453">
        <v>0</v>
      </c>
    </row>
    <row r="233" spans="1:7" ht="22.05" customHeight="1" x14ac:dyDescent="0.2">
      <c r="A233" s="448" t="s">
        <v>64</v>
      </c>
      <c r="B233" s="464">
        <f>VLOOKUP($A233,Table22[],2,FALSE)</f>
        <v>0</v>
      </c>
      <c r="C233" s="732">
        <f>VLOOKUP($A233,Table22[],3,FALSE)</f>
        <v>0</v>
      </c>
      <c r="D233" s="461" t="s">
        <v>1701</v>
      </c>
      <c r="E233" s="447"/>
      <c r="F233" s="754"/>
      <c r="G233" s="754"/>
    </row>
    <row r="234" spans="1:7" ht="22.05" customHeight="1" x14ac:dyDescent="0.2">
      <c r="A234" s="448" t="s">
        <v>67</v>
      </c>
      <c r="B234" s="464">
        <f>VLOOKUP($A234,Table22[],2,FALSE)</f>
        <v>0</v>
      </c>
      <c r="C234" s="732">
        <f>VLOOKUP($A234,Table22[],3,FALSE)</f>
        <v>0</v>
      </c>
      <c r="D234" s="461" t="s">
        <v>1699</v>
      </c>
      <c r="E234" s="447" t="s">
        <v>42</v>
      </c>
      <c r="F234" s="453">
        <v>0</v>
      </c>
      <c r="G234" s="453">
        <v>0</v>
      </c>
    </row>
    <row r="235" spans="1:7" ht="22.05" customHeight="1" x14ac:dyDescent="0.2">
      <c r="A235" s="448" t="s">
        <v>70</v>
      </c>
      <c r="B235" s="464">
        <f>VLOOKUP($A235,Table22[],2,FALSE)</f>
        <v>0</v>
      </c>
      <c r="C235" s="732">
        <f>VLOOKUP($A235,Table22[],3,FALSE)</f>
        <v>0</v>
      </c>
      <c r="D235" s="461" t="s">
        <v>1701</v>
      </c>
      <c r="E235" s="447"/>
      <c r="F235" s="754"/>
      <c r="G235" s="754"/>
    </row>
    <row r="236" spans="1:7" ht="22.05" customHeight="1" x14ac:dyDescent="0.2">
      <c r="A236" s="448" t="s">
        <v>72</v>
      </c>
      <c r="B236" s="464">
        <f>VLOOKUP($A236,Table22[],2,FALSE)</f>
        <v>0</v>
      </c>
      <c r="C236" s="732">
        <f>VLOOKUP($A236,Table22[],3,FALSE)</f>
        <v>0</v>
      </c>
      <c r="D236" s="461" t="s">
        <v>1700</v>
      </c>
      <c r="E236" s="447" t="s">
        <v>1044</v>
      </c>
      <c r="F236" s="453">
        <f t="shared" ref="F236:G239" si="14">B236</f>
        <v>0</v>
      </c>
      <c r="G236" s="453">
        <f t="shared" si="14"/>
        <v>0</v>
      </c>
    </row>
    <row r="237" spans="1:7" ht="22.05" customHeight="1" x14ac:dyDescent="0.2">
      <c r="A237" s="448" t="s">
        <v>75</v>
      </c>
      <c r="B237" s="464">
        <f>VLOOKUP($A237,Table22[],2,FALSE)</f>
        <v>0</v>
      </c>
      <c r="C237" s="732">
        <f>VLOOKUP($A237,Table22[],3,FALSE)</f>
        <v>0</v>
      </c>
      <c r="D237" s="461" t="s">
        <v>1700</v>
      </c>
      <c r="E237" s="447" t="s">
        <v>1045</v>
      </c>
      <c r="F237" s="453">
        <f t="shared" si="14"/>
        <v>0</v>
      </c>
      <c r="G237" s="453">
        <f t="shared" si="14"/>
        <v>0</v>
      </c>
    </row>
    <row r="238" spans="1:7" ht="22.05" customHeight="1" x14ac:dyDescent="0.2">
      <c r="A238" s="448" t="s">
        <v>78</v>
      </c>
      <c r="B238" s="464">
        <f>VLOOKUP($A238,Table22[],2,FALSE)</f>
        <v>0</v>
      </c>
      <c r="C238" s="732">
        <f>VLOOKUP($A238,Table22[],3,FALSE)</f>
        <v>0</v>
      </c>
      <c r="D238" s="461" t="s">
        <v>1700</v>
      </c>
      <c r="E238" s="447" t="s">
        <v>1047</v>
      </c>
      <c r="F238" s="453">
        <f t="shared" si="14"/>
        <v>0</v>
      </c>
      <c r="G238" s="453">
        <f t="shared" si="14"/>
        <v>0</v>
      </c>
    </row>
    <row r="239" spans="1:7" ht="22.05" customHeight="1" x14ac:dyDescent="0.2">
      <c r="A239" s="448" t="s">
        <v>81</v>
      </c>
      <c r="B239" s="464">
        <f>VLOOKUP($A239,Table22[],2,FALSE)</f>
        <v>0</v>
      </c>
      <c r="C239" s="732">
        <f>VLOOKUP($A239,Table22[],3,FALSE)</f>
        <v>0</v>
      </c>
      <c r="D239" s="461" t="s">
        <v>1700</v>
      </c>
      <c r="E239" s="447" t="s">
        <v>1048</v>
      </c>
      <c r="F239" s="453">
        <f t="shared" si="14"/>
        <v>0</v>
      </c>
      <c r="G239" s="453">
        <f t="shared" si="14"/>
        <v>0</v>
      </c>
    </row>
    <row r="240" spans="1:7" ht="22.05" customHeight="1" x14ac:dyDescent="0.2">
      <c r="A240" s="448" t="s">
        <v>83</v>
      </c>
      <c r="B240" s="464">
        <f>VLOOKUP($A240,Table22[],2,FALSE)</f>
        <v>0</v>
      </c>
      <c r="C240" s="732">
        <f>VLOOKUP($A240,Table22[],3,FALSE)</f>
        <v>0</v>
      </c>
      <c r="D240" s="461" t="s">
        <v>1699</v>
      </c>
      <c r="E240" s="447" t="s">
        <v>1046</v>
      </c>
      <c r="F240" s="453">
        <v>0</v>
      </c>
      <c r="G240" s="453">
        <v>0</v>
      </c>
    </row>
    <row r="241" spans="1:7" ht="22.05" customHeight="1" x14ac:dyDescent="0.2">
      <c r="A241" s="448" t="s">
        <v>85</v>
      </c>
      <c r="B241" s="464">
        <f>VLOOKUP($A241,Table22[],2,FALSE)</f>
        <v>0</v>
      </c>
      <c r="C241" s="732">
        <f>VLOOKUP($A241,Table22[],3,FALSE)</f>
        <v>0</v>
      </c>
      <c r="D241" s="461" t="s">
        <v>1699</v>
      </c>
      <c r="E241" s="447" t="s">
        <v>1049</v>
      </c>
      <c r="F241" s="453">
        <v>0</v>
      </c>
      <c r="G241" s="453">
        <v>0</v>
      </c>
    </row>
    <row r="242" spans="1:7" ht="22.05" customHeight="1" x14ac:dyDescent="0.2">
      <c r="A242" s="448" t="s">
        <v>87</v>
      </c>
      <c r="B242" s="464">
        <f>VLOOKUP($A242,Table22[],2,FALSE)</f>
        <v>0</v>
      </c>
      <c r="C242" s="732">
        <f>VLOOKUP($A242,Table22[],3,FALSE)</f>
        <v>0</v>
      </c>
      <c r="D242" s="461" t="s">
        <v>1701</v>
      </c>
      <c r="E242" s="447"/>
      <c r="F242" s="754"/>
      <c r="G242" s="754"/>
    </row>
    <row r="243" spans="1:7" ht="22.05" customHeight="1" x14ac:dyDescent="0.2">
      <c r="A243" s="448" t="s">
        <v>222</v>
      </c>
      <c r="B243" s="464">
        <f>VLOOKUP($A243,Table22[],2,FALSE)</f>
        <v>0</v>
      </c>
      <c r="C243" s="732">
        <f>VLOOKUP($A243,Table22[],3,FALSE)</f>
        <v>0</v>
      </c>
      <c r="D243" s="461" t="s">
        <v>1700</v>
      </c>
      <c r="E243" s="447" t="s">
        <v>222</v>
      </c>
      <c r="F243" s="453">
        <f>B243</f>
        <v>0</v>
      </c>
      <c r="G243" s="453">
        <f>C243</f>
        <v>0</v>
      </c>
    </row>
    <row r="244" spans="1:7" ht="22.05" customHeight="1" x14ac:dyDescent="0.2">
      <c r="A244" s="448" t="s">
        <v>223</v>
      </c>
      <c r="B244" s="464">
        <f>VLOOKUP($A244,Table22[],2,FALSE)</f>
        <v>0</v>
      </c>
      <c r="C244" s="732">
        <f>VLOOKUP($A244,Table22[],3,FALSE)</f>
        <v>0</v>
      </c>
      <c r="D244" s="461" t="s">
        <v>1699</v>
      </c>
      <c r="E244" s="447" t="s">
        <v>224</v>
      </c>
      <c r="F244" s="453">
        <v>0</v>
      </c>
      <c r="G244" s="453">
        <v>0</v>
      </c>
    </row>
    <row r="245" spans="1:7" ht="22.05" customHeight="1" x14ac:dyDescent="0.2">
      <c r="A245" s="448" t="s">
        <v>224</v>
      </c>
      <c r="B245" s="464">
        <f>VLOOKUP($A245,Table22[],2,FALSE)</f>
        <v>0</v>
      </c>
      <c r="C245" s="732">
        <f>VLOOKUP($A245,Table22[],3,FALSE)</f>
        <v>0</v>
      </c>
      <c r="D245" s="461" t="s">
        <v>1700</v>
      </c>
      <c r="E245" s="447" t="s">
        <v>225</v>
      </c>
      <c r="F245" s="453">
        <f t="shared" ref="F245:G268" si="15">B245</f>
        <v>0</v>
      </c>
      <c r="G245" s="453">
        <f t="shared" si="15"/>
        <v>0</v>
      </c>
    </row>
    <row r="246" spans="1:7" ht="22.05" customHeight="1" x14ac:dyDescent="0.2">
      <c r="A246" s="448" t="s">
        <v>225</v>
      </c>
      <c r="B246" s="464">
        <f>VLOOKUP($A246,Table22[],2,FALSE)</f>
        <v>0</v>
      </c>
      <c r="C246" s="732">
        <f>VLOOKUP($A246,Table22[],3,FALSE)</f>
        <v>0</v>
      </c>
      <c r="D246" s="461" t="s">
        <v>1700</v>
      </c>
      <c r="E246" s="447" t="s">
        <v>1059</v>
      </c>
      <c r="F246" s="453">
        <f t="shared" si="15"/>
        <v>0</v>
      </c>
      <c r="G246" s="453">
        <f t="shared" si="15"/>
        <v>0</v>
      </c>
    </row>
    <row r="247" spans="1:7" ht="22.05" customHeight="1" x14ac:dyDescent="0.2">
      <c r="A247" s="448" t="s">
        <v>226</v>
      </c>
      <c r="B247" s="464">
        <f>VLOOKUP($A247,Table22[],2,FALSE)</f>
        <v>0</v>
      </c>
      <c r="C247" s="732">
        <f>VLOOKUP($A247,Table22[],3,FALSE)</f>
        <v>0</v>
      </c>
      <c r="D247" s="461" t="s">
        <v>1700</v>
      </c>
      <c r="E247" s="447" t="s">
        <v>226</v>
      </c>
      <c r="F247" s="453">
        <f t="shared" si="15"/>
        <v>0</v>
      </c>
      <c r="G247" s="453">
        <f t="shared" si="15"/>
        <v>0</v>
      </c>
    </row>
    <row r="248" spans="1:7" ht="22.05" customHeight="1" x14ac:dyDescent="0.2">
      <c r="A248" s="448" t="s">
        <v>227</v>
      </c>
      <c r="B248" s="464">
        <f>VLOOKUP($A248,Table22[],2,FALSE)</f>
        <v>0</v>
      </c>
      <c r="C248" s="732">
        <f>VLOOKUP($A248,Table22[],3,FALSE)</f>
        <v>0</v>
      </c>
      <c r="D248" s="461" t="s">
        <v>1700</v>
      </c>
      <c r="E248" s="447" t="s">
        <v>227</v>
      </c>
      <c r="F248" s="453">
        <f t="shared" si="15"/>
        <v>0</v>
      </c>
      <c r="G248" s="453">
        <f t="shared" si="15"/>
        <v>0</v>
      </c>
    </row>
    <row r="249" spans="1:7" ht="22.05" customHeight="1" x14ac:dyDescent="0.2">
      <c r="A249" s="448" t="s">
        <v>228</v>
      </c>
      <c r="B249" s="464">
        <f>VLOOKUP($A249,Table22[],2,FALSE)</f>
        <v>0</v>
      </c>
      <c r="C249" s="732">
        <f>VLOOKUP($A249,Table22[],3,FALSE)</f>
        <v>0</v>
      </c>
      <c r="D249" s="461" t="s">
        <v>1700</v>
      </c>
      <c r="E249" s="447" t="s">
        <v>228</v>
      </c>
      <c r="F249" s="453">
        <f t="shared" si="15"/>
        <v>0</v>
      </c>
      <c r="G249" s="453">
        <f t="shared" si="15"/>
        <v>0</v>
      </c>
    </row>
    <row r="250" spans="1:7" ht="22.05" customHeight="1" x14ac:dyDescent="0.2">
      <c r="A250" s="448" t="s">
        <v>229</v>
      </c>
      <c r="B250" s="464">
        <f>VLOOKUP($A250,Table22[],2,FALSE)</f>
        <v>0</v>
      </c>
      <c r="C250" s="732">
        <f>VLOOKUP($A250,Table22[],3,FALSE)</f>
        <v>0</v>
      </c>
      <c r="D250" s="461" t="s">
        <v>1700</v>
      </c>
      <c r="E250" s="447" t="s">
        <v>229</v>
      </c>
      <c r="F250" s="453">
        <f t="shared" si="15"/>
        <v>0</v>
      </c>
      <c r="G250" s="453">
        <f t="shared" si="15"/>
        <v>0</v>
      </c>
    </row>
    <row r="251" spans="1:7" ht="22.05" customHeight="1" x14ac:dyDescent="0.2">
      <c r="A251" s="448" t="s">
        <v>230</v>
      </c>
      <c r="B251" s="464">
        <f>VLOOKUP($A251,Table22[],2,FALSE)</f>
        <v>0</v>
      </c>
      <c r="C251" s="732">
        <f>VLOOKUP($A251,Table22[],3,FALSE)</f>
        <v>0</v>
      </c>
      <c r="D251" s="461" t="s">
        <v>1700</v>
      </c>
      <c r="E251" s="447" t="s">
        <v>230</v>
      </c>
      <c r="F251" s="453">
        <f t="shared" si="15"/>
        <v>0</v>
      </c>
      <c r="G251" s="453">
        <f t="shared" si="15"/>
        <v>0</v>
      </c>
    </row>
    <row r="252" spans="1:7" ht="22.05" customHeight="1" x14ac:dyDescent="0.2">
      <c r="A252" s="448" t="s">
        <v>231</v>
      </c>
      <c r="B252" s="464">
        <f>VLOOKUP($A252,Table22[],2,FALSE)</f>
        <v>0</v>
      </c>
      <c r="C252" s="732">
        <f>VLOOKUP($A252,Table22[],3,FALSE)</f>
        <v>0</v>
      </c>
      <c r="D252" s="461" t="s">
        <v>1700</v>
      </c>
      <c r="E252" s="447" t="s">
        <v>231</v>
      </c>
      <c r="F252" s="453">
        <f t="shared" si="15"/>
        <v>0</v>
      </c>
      <c r="G252" s="453">
        <f t="shared" si="15"/>
        <v>0</v>
      </c>
    </row>
    <row r="253" spans="1:7" ht="22.05" customHeight="1" x14ac:dyDescent="0.2">
      <c r="A253" s="448" t="s">
        <v>232</v>
      </c>
      <c r="B253" s="464">
        <f>VLOOKUP($A253,Table22[],2,FALSE)</f>
        <v>0</v>
      </c>
      <c r="C253" s="732">
        <f>VLOOKUP($A253,Table22[],3,FALSE)</f>
        <v>0</v>
      </c>
      <c r="D253" s="461" t="s">
        <v>1700</v>
      </c>
      <c r="E253" s="447" t="s">
        <v>232</v>
      </c>
      <c r="F253" s="453">
        <f t="shared" si="15"/>
        <v>0</v>
      </c>
      <c r="G253" s="453">
        <f t="shared" si="15"/>
        <v>0</v>
      </c>
    </row>
    <row r="254" spans="1:7" ht="22.05" customHeight="1" x14ac:dyDescent="0.2">
      <c r="A254" s="448" t="s">
        <v>233</v>
      </c>
      <c r="B254" s="464">
        <f>VLOOKUP($A254,Table22[],2,FALSE)</f>
        <v>0</v>
      </c>
      <c r="C254" s="732">
        <f>VLOOKUP($A254,Table22[],3,FALSE)</f>
        <v>0</v>
      </c>
      <c r="D254" s="461" t="s">
        <v>1700</v>
      </c>
      <c r="E254" s="447" t="s">
        <v>233</v>
      </c>
      <c r="F254" s="453">
        <f t="shared" si="15"/>
        <v>0</v>
      </c>
      <c r="G254" s="453">
        <f t="shared" si="15"/>
        <v>0</v>
      </c>
    </row>
    <row r="255" spans="1:7" ht="22.05" customHeight="1" x14ac:dyDescent="0.2">
      <c r="A255" s="448" t="s">
        <v>234</v>
      </c>
      <c r="B255" s="464">
        <f>VLOOKUP($A255,Table22[],2,FALSE)</f>
        <v>0</v>
      </c>
      <c r="C255" s="732">
        <f>VLOOKUP($A255,Table22[],3,FALSE)</f>
        <v>0</v>
      </c>
      <c r="D255" s="461" t="s">
        <v>1700</v>
      </c>
      <c r="E255" s="447" t="s">
        <v>234</v>
      </c>
      <c r="F255" s="453">
        <f t="shared" si="15"/>
        <v>0</v>
      </c>
      <c r="G255" s="453">
        <f t="shared" si="15"/>
        <v>0</v>
      </c>
    </row>
    <row r="256" spans="1:7" ht="22.05" customHeight="1" x14ac:dyDescent="0.2">
      <c r="A256" s="448" t="s">
        <v>235</v>
      </c>
      <c r="B256" s="464">
        <f>VLOOKUP($A256,Table22[],2,FALSE)</f>
        <v>0</v>
      </c>
      <c r="C256" s="732">
        <f>VLOOKUP($A256,Table22[],3,FALSE)</f>
        <v>0</v>
      </c>
      <c r="D256" s="461" t="s">
        <v>1700</v>
      </c>
      <c r="E256" s="447" t="s">
        <v>235</v>
      </c>
      <c r="F256" s="453">
        <f t="shared" si="15"/>
        <v>0</v>
      </c>
      <c r="G256" s="453">
        <f t="shared" si="15"/>
        <v>0</v>
      </c>
    </row>
    <row r="257" spans="1:7" ht="22.05" customHeight="1" x14ac:dyDescent="0.2">
      <c r="A257" s="448" t="s">
        <v>236</v>
      </c>
      <c r="B257" s="464">
        <f>VLOOKUP($A257,Table22[],2,FALSE)</f>
        <v>0</v>
      </c>
      <c r="C257" s="732">
        <f>VLOOKUP($A257,Table22[],3,FALSE)</f>
        <v>0</v>
      </c>
      <c r="D257" s="461" t="s">
        <v>1700</v>
      </c>
      <c r="E257" s="447" t="s">
        <v>236</v>
      </c>
      <c r="F257" s="453">
        <f t="shared" si="15"/>
        <v>0</v>
      </c>
      <c r="G257" s="453">
        <f t="shared" si="15"/>
        <v>0</v>
      </c>
    </row>
    <row r="258" spans="1:7" ht="22.05" customHeight="1" x14ac:dyDescent="0.2">
      <c r="A258" s="448" t="s">
        <v>237</v>
      </c>
      <c r="B258" s="464">
        <f>VLOOKUP($A258,Table22[],2,FALSE)</f>
        <v>0</v>
      </c>
      <c r="C258" s="732">
        <f>VLOOKUP($A258,Table22[],3,FALSE)</f>
        <v>0</v>
      </c>
      <c r="D258" s="461" t="s">
        <v>1700</v>
      </c>
      <c r="E258" s="447" t="s">
        <v>237</v>
      </c>
      <c r="F258" s="453">
        <f t="shared" si="15"/>
        <v>0</v>
      </c>
      <c r="G258" s="453">
        <f t="shared" si="15"/>
        <v>0</v>
      </c>
    </row>
    <row r="259" spans="1:7" ht="22.05" customHeight="1" x14ac:dyDescent="0.2">
      <c r="A259" s="448" t="s">
        <v>238</v>
      </c>
      <c r="B259" s="464">
        <f>VLOOKUP($A259,Table22[],2,FALSE)</f>
        <v>0</v>
      </c>
      <c r="C259" s="732">
        <f>VLOOKUP($A259,Table22[],3,FALSE)</f>
        <v>0</v>
      </c>
      <c r="D259" s="461" t="s">
        <v>1700</v>
      </c>
      <c r="E259" s="447" t="s">
        <v>238</v>
      </c>
      <c r="F259" s="453">
        <f t="shared" si="15"/>
        <v>0</v>
      </c>
      <c r="G259" s="453">
        <f t="shared" si="15"/>
        <v>0</v>
      </c>
    </row>
    <row r="260" spans="1:7" ht="22.05" customHeight="1" x14ac:dyDescent="0.2">
      <c r="A260" s="448" t="s">
        <v>239</v>
      </c>
      <c r="B260" s="464">
        <f>VLOOKUP($A260,Table22[],2,FALSE)</f>
        <v>0</v>
      </c>
      <c r="C260" s="732">
        <f>VLOOKUP($A260,Table22[],3,FALSE)</f>
        <v>0</v>
      </c>
      <c r="D260" s="461" t="s">
        <v>1700</v>
      </c>
      <c r="E260" s="447" t="s">
        <v>239</v>
      </c>
      <c r="F260" s="453">
        <f t="shared" si="15"/>
        <v>0</v>
      </c>
      <c r="G260" s="453">
        <f t="shared" si="15"/>
        <v>0</v>
      </c>
    </row>
    <row r="261" spans="1:7" ht="22.05" customHeight="1" x14ac:dyDescent="0.2">
      <c r="A261" s="448" t="s">
        <v>240</v>
      </c>
      <c r="B261" s="464">
        <f>VLOOKUP($A261,Table22[],2,FALSE)</f>
        <v>0</v>
      </c>
      <c r="C261" s="732">
        <f>VLOOKUP($A261,Table22[],3,FALSE)</f>
        <v>0</v>
      </c>
      <c r="D261" s="461" t="s">
        <v>1700</v>
      </c>
      <c r="E261" s="447" t="s">
        <v>240</v>
      </c>
      <c r="F261" s="453">
        <f t="shared" si="15"/>
        <v>0</v>
      </c>
      <c r="G261" s="453">
        <f t="shared" si="15"/>
        <v>0</v>
      </c>
    </row>
    <row r="262" spans="1:7" ht="22.05" customHeight="1" x14ac:dyDescent="0.2">
      <c r="A262" s="448" t="s">
        <v>241</v>
      </c>
      <c r="B262" s="464">
        <f>VLOOKUP($A262,Table22[],2,FALSE)</f>
        <v>0</v>
      </c>
      <c r="C262" s="732">
        <f>VLOOKUP($A262,Table22[],3,FALSE)</f>
        <v>0</v>
      </c>
      <c r="D262" s="461" t="s">
        <v>1700</v>
      </c>
      <c r="E262" s="447" t="s">
        <v>241</v>
      </c>
      <c r="F262" s="453">
        <f t="shared" si="15"/>
        <v>0</v>
      </c>
      <c r="G262" s="453">
        <f t="shared" si="15"/>
        <v>0</v>
      </c>
    </row>
    <row r="263" spans="1:7" ht="22.05" customHeight="1" x14ac:dyDescent="0.2">
      <c r="A263" s="448" t="s">
        <v>242</v>
      </c>
      <c r="B263" s="464">
        <f>VLOOKUP($A263,Table22[],2,FALSE)</f>
        <v>0</v>
      </c>
      <c r="C263" s="732">
        <f>VLOOKUP($A263,Table22[],3,FALSE)</f>
        <v>0</v>
      </c>
      <c r="D263" s="461" t="s">
        <v>1700</v>
      </c>
      <c r="E263" s="447" t="s">
        <v>242</v>
      </c>
      <c r="F263" s="453">
        <f t="shared" si="15"/>
        <v>0</v>
      </c>
      <c r="G263" s="453">
        <f t="shared" si="15"/>
        <v>0</v>
      </c>
    </row>
    <row r="264" spans="1:7" ht="22.05" customHeight="1" x14ac:dyDescent="0.2">
      <c r="A264" s="448" t="s">
        <v>243</v>
      </c>
      <c r="B264" s="464">
        <f>VLOOKUP($A264,Table22[],2,FALSE)</f>
        <v>0</v>
      </c>
      <c r="C264" s="732">
        <f>VLOOKUP($A264,Table22[],3,FALSE)</f>
        <v>0</v>
      </c>
      <c r="D264" s="461" t="s">
        <v>1700</v>
      </c>
      <c r="E264" s="447" t="s">
        <v>243</v>
      </c>
      <c r="F264" s="453">
        <f t="shared" si="15"/>
        <v>0</v>
      </c>
      <c r="G264" s="453">
        <f t="shared" si="15"/>
        <v>0</v>
      </c>
    </row>
    <row r="265" spans="1:7" ht="22.05" customHeight="1" x14ac:dyDescent="0.2">
      <c r="A265" s="448" t="s">
        <v>245</v>
      </c>
      <c r="B265" s="464">
        <f>VLOOKUP($A265,Table22[],2,FALSE)</f>
        <v>0</v>
      </c>
      <c r="C265" s="732">
        <f>VLOOKUP($A265,Table22[],3,FALSE)</f>
        <v>0</v>
      </c>
      <c r="D265" s="461" t="s">
        <v>1700</v>
      </c>
      <c r="E265" s="447" t="s">
        <v>245</v>
      </c>
      <c r="F265" s="453">
        <f t="shared" si="15"/>
        <v>0</v>
      </c>
      <c r="G265" s="453">
        <f t="shared" si="15"/>
        <v>0</v>
      </c>
    </row>
    <row r="266" spans="1:7" ht="22.05" customHeight="1" x14ac:dyDescent="0.2">
      <c r="A266" s="448" t="s">
        <v>246</v>
      </c>
      <c r="B266" s="464">
        <f>VLOOKUP($A266,Table22[],2,FALSE)</f>
        <v>0</v>
      </c>
      <c r="C266" s="732">
        <f>VLOOKUP($A266,Table22[],3,FALSE)</f>
        <v>0</v>
      </c>
      <c r="D266" s="461" t="s">
        <v>1700</v>
      </c>
      <c r="E266" s="447" t="s">
        <v>246</v>
      </c>
      <c r="F266" s="453">
        <f t="shared" si="15"/>
        <v>0</v>
      </c>
      <c r="G266" s="453">
        <f t="shared" si="15"/>
        <v>0</v>
      </c>
    </row>
    <row r="267" spans="1:7" ht="22.05" customHeight="1" x14ac:dyDescent="0.2">
      <c r="A267" s="448" t="s">
        <v>247</v>
      </c>
      <c r="B267" s="464">
        <f>VLOOKUP($A267,Table22[],2,FALSE)</f>
        <v>0</v>
      </c>
      <c r="C267" s="732">
        <f>VLOOKUP($A267,Table22[],3,FALSE)</f>
        <v>0</v>
      </c>
      <c r="D267" s="461" t="s">
        <v>1700</v>
      </c>
      <c r="E267" s="447" t="s">
        <v>248</v>
      </c>
      <c r="F267" s="453">
        <f t="shared" si="15"/>
        <v>0</v>
      </c>
      <c r="G267" s="453">
        <f t="shared" si="15"/>
        <v>0</v>
      </c>
    </row>
    <row r="268" spans="1:7" ht="22.05" customHeight="1" x14ac:dyDescent="0.2">
      <c r="A268" s="448" t="s">
        <v>248</v>
      </c>
      <c r="B268" s="464">
        <f>VLOOKUP($A268,Table22[],2,FALSE)</f>
        <v>0</v>
      </c>
      <c r="C268" s="732">
        <f>VLOOKUP($A268,Table22[],3,FALSE)</f>
        <v>0</v>
      </c>
      <c r="D268" s="461" t="s">
        <v>1700</v>
      </c>
      <c r="E268" s="447" t="s">
        <v>249</v>
      </c>
      <c r="F268" s="453">
        <f t="shared" si="15"/>
        <v>0</v>
      </c>
      <c r="G268" s="453">
        <f t="shared" si="15"/>
        <v>0</v>
      </c>
    </row>
    <row r="269" spans="1:7" ht="22.05" customHeight="1" x14ac:dyDescent="0.2">
      <c r="A269" s="448" t="s">
        <v>249</v>
      </c>
      <c r="B269" s="464">
        <f>VLOOKUP($A269,Table22[],2,FALSE)</f>
        <v>0</v>
      </c>
      <c r="C269" s="732">
        <f>VLOOKUP($A269,Table22[],3,FALSE)</f>
        <v>0</v>
      </c>
      <c r="D269" s="461" t="s">
        <v>1699</v>
      </c>
      <c r="E269" s="447" t="s">
        <v>247</v>
      </c>
      <c r="F269" s="453">
        <v>0</v>
      </c>
      <c r="G269" s="453">
        <v>0</v>
      </c>
    </row>
    <row r="270" spans="1:7" ht="22.05" customHeight="1" x14ac:dyDescent="0.2">
      <c r="A270" s="448" t="s">
        <v>250</v>
      </c>
      <c r="B270" s="464">
        <f>VLOOKUP($A270,Table22[],2,FALSE)</f>
        <v>0</v>
      </c>
      <c r="C270" s="732">
        <f>VLOOKUP($A270,Table22[],3,FALSE)</f>
        <v>0</v>
      </c>
      <c r="D270" s="461" t="s">
        <v>1699</v>
      </c>
      <c r="E270" s="447" t="s">
        <v>250</v>
      </c>
      <c r="F270" s="453">
        <v>0</v>
      </c>
      <c r="G270" s="453">
        <v>0</v>
      </c>
    </row>
    <row r="271" spans="1:7" ht="22.05" customHeight="1" x14ac:dyDescent="0.2">
      <c r="A271" s="448" t="s">
        <v>251</v>
      </c>
      <c r="B271" s="464">
        <f>VLOOKUP($A271,Table22[],2,FALSE)</f>
        <v>0</v>
      </c>
      <c r="C271" s="732">
        <f>VLOOKUP($A271,Table22[],3,FALSE)</f>
        <v>0</v>
      </c>
      <c r="D271" s="461" t="s">
        <v>1701</v>
      </c>
      <c r="E271" s="447"/>
      <c r="F271" s="754"/>
      <c r="G271" s="754"/>
    </row>
    <row r="272" spans="1:7" ht="22.05" customHeight="1" x14ac:dyDescent="0.2">
      <c r="A272" s="448" t="s">
        <v>183</v>
      </c>
      <c r="B272" s="464">
        <f>VLOOKUP($A272,Table22[],2,FALSE)</f>
        <v>0</v>
      </c>
      <c r="C272" s="732">
        <f>VLOOKUP($A272,Table22[],3,FALSE)</f>
        <v>0</v>
      </c>
      <c r="D272" s="461" t="s">
        <v>1700</v>
      </c>
      <c r="E272" s="447" t="s">
        <v>197</v>
      </c>
      <c r="F272" s="453">
        <f t="shared" ref="F272:G277" si="16">B272</f>
        <v>0</v>
      </c>
      <c r="G272" s="453">
        <f t="shared" si="16"/>
        <v>0</v>
      </c>
    </row>
    <row r="273" spans="1:7" ht="22.05" customHeight="1" x14ac:dyDescent="0.2">
      <c r="A273" s="448" t="s">
        <v>184</v>
      </c>
      <c r="B273" s="464">
        <f>VLOOKUP($A273,Table22[],2,FALSE)</f>
        <v>0</v>
      </c>
      <c r="C273" s="732">
        <f>VLOOKUP($A273,Table22[],3,FALSE)</f>
        <v>0</v>
      </c>
      <c r="D273" s="461" t="s">
        <v>1700</v>
      </c>
      <c r="E273" s="447" t="s">
        <v>198</v>
      </c>
      <c r="F273" s="453">
        <f t="shared" si="16"/>
        <v>0</v>
      </c>
      <c r="G273" s="453">
        <f t="shared" si="16"/>
        <v>0</v>
      </c>
    </row>
    <row r="274" spans="1:7" ht="22.05" customHeight="1" x14ac:dyDescent="0.2">
      <c r="A274" s="448" t="s">
        <v>185</v>
      </c>
      <c r="B274" s="464">
        <f>VLOOKUP($A274,Table22[],2,FALSE)</f>
        <v>0</v>
      </c>
      <c r="C274" s="732">
        <f>VLOOKUP($A274,Table22[],3,FALSE)</f>
        <v>0</v>
      </c>
      <c r="D274" s="461" t="s">
        <v>1700</v>
      </c>
      <c r="E274" s="447" t="s">
        <v>199</v>
      </c>
      <c r="F274" s="453">
        <f t="shared" si="16"/>
        <v>0</v>
      </c>
      <c r="G274" s="453">
        <f t="shared" si="16"/>
        <v>0</v>
      </c>
    </row>
    <row r="275" spans="1:7" ht="22.05" customHeight="1" x14ac:dyDescent="0.2">
      <c r="A275" s="448" t="s">
        <v>186</v>
      </c>
      <c r="B275" s="464">
        <f>VLOOKUP($A275,Table22[],2,FALSE)</f>
        <v>0</v>
      </c>
      <c r="C275" s="732">
        <f>VLOOKUP($A275,Table22[],3,FALSE)</f>
        <v>0</v>
      </c>
      <c r="D275" s="461" t="s">
        <v>1700</v>
      </c>
      <c r="E275" s="447" t="s">
        <v>200</v>
      </c>
      <c r="F275" s="453">
        <f t="shared" si="16"/>
        <v>0</v>
      </c>
      <c r="G275" s="453">
        <f t="shared" si="16"/>
        <v>0</v>
      </c>
    </row>
    <row r="276" spans="1:7" ht="22.05" customHeight="1" x14ac:dyDescent="0.2">
      <c r="A276" s="448" t="s">
        <v>187</v>
      </c>
      <c r="B276" s="464">
        <f>VLOOKUP($A276,Table22[],2,FALSE)</f>
        <v>0</v>
      </c>
      <c r="C276" s="732">
        <f>VLOOKUP($A276,Table22[],3,FALSE)</f>
        <v>0</v>
      </c>
      <c r="D276" s="461" t="s">
        <v>1700</v>
      </c>
      <c r="E276" s="447" t="s">
        <v>201</v>
      </c>
      <c r="F276" s="453">
        <f t="shared" si="16"/>
        <v>0</v>
      </c>
      <c r="G276" s="453">
        <f t="shared" si="16"/>
        <v>0</v>
      </c>
    </row>
    <row r="277" spans="1:7" ht="22.05" customHeight="1" x14ac:dyDescent="0.2">
      <c r="A277" s="448" t="s">
        <v>188</v>
      </c>
      <c r="B277" s="464">
        <f>VLOOKUP($A277,Table22[],2,FALSE)</f>
        <v>0</v>
      </c>
      <c r="C277" s="732">
        <f>VLOOKUP($A277,Table22[],3,FALSE)</f>
        <v>0</v>
      </c>
      <c r="D277" s="461" t="s">
        <v>1700</v>
      </c>
      <c r="E277" s="447" t="s">
        <v>202</v>
      </c>
      <c r="F277" s="453">
        <f t="shared" si="16"/>
        <v>0</v>
      </c>
      <c r="G277" s="453">
        <f t="shared" si="16"/>
        <v>0</v>
      </c>
    </row>
    <row r="278" spans="1:7" ht="22.05" customHeight="1" x14ac:dyDescent="0.2">
      <c r="A278" s="448" t="s">
        <v>189</v>
      </c>
      <c r="B278" s="464">
        <f>VLOOKUP($A278,Table22[],2,FALSE)</f>
        <v>0</v>
      </c>
      <c r="C278" s="732">
        <f>VLOOKUP($A278,Table22[],3,FALSE)</f>
        <v>0</v>
      </c>
      <c r="D278" s="461" t="s">
        <v>1699</v>
      </c>
      <c r="E278" s="447" t="s">
        <v>203</v>
      </c>
      <c r="F278" s="453">
        <v>0</v>
      </c>
      <c r="G278" s="453">
        <v>0</v>
      </c>
    </row>
    <row r="279" spans="1:7" ht="22.05" customHeight="1" x14ac:dyDescent="0.2">
      <c r="A279" s="448" t="s">
        <v>190</v>
      </c>
      <c r="B279" s="464">
        <f>VLOOKUP($A279,Table22[],2,FALSE)</f>
        <v>0</v>
      </c>
      <c r="C279" s="732">
        <f>VLOOKUP($A279,Table22[],3,FALSE)</f>
        <v>0</v>
      </c>
      <c r="D279" s="461" t="s">
        <v>1700</v>
      </c>
      <c r="E279" s="447" t="s">
        <v>204</v>
      </c>
      <c r="F279" s="453">
        <f t="shared" ref="F279:G281" si="17">B279</f>
        <v>0</v>
      </c>
      <c r="G279" s="453">
        <f t="shared" si="17"/>
        <v>0</v>
      </c>
    </row>
    <row r="280" spans="1:7" ht="22.05" customHeight="1" x14ac:dyDescent="0.2">
      <c r="A280" s="448" t="s">
        <v>191</v>
      </c>
      <c r="B280" s="464">
        <f>VLOOKUP($A280,Table22[],2,FALSE)</f>
        <v>0</v>
      </c>
      <c r="C280" s="732">
        <f>VLOOKUP($A280,Table22[],3,FALSE)</f>
        <v>0</v>
      </c>
      <c r="D280" s="461" t="s">
        <v>1700</v>
      </c>
      <c r="E280" s="447" t="s">
        <v>205</v>
      </c>
      <c r="F280" s="453">
        <f t="shared" si="17"/>
        <v>0</v>
      </c>
      <c r="G280" s="453">
        <f t="shared" si="17"/>
        <v>0</v>
      </c>
    </row>
    <row r="281" spans="1:7" ht="22.05" customHeight="1" x14ac:dyDescent="0.2">
      <c r="A281" s="448" t="s">
        <v>192</v>
      </c>
      <c r="B281" s="464">
        <f>VLOOKUP($A281,Table22[],2,FALSE)</f>
        <v>0</v>
      </c>
      <c r="C281" s="732">
        <f>VLOOKUP($A281,Table22[],3,FALSE)</f>
        <v>0</v>
      </c>
      <c r="D281" s="461" t="s">
        <v>1700</v>
      </c>
      <c r="E281" s="447" t="s">
        <v>207</v>
      </c>
      <c r="F281" s="453">
        <f t="shared" si="17"/>
        <v>0</v>
      </c>
      <c r="G281" s="453">
        <f t="shared" si="17"/>
        <v>0</v>
      </c>
    </row>
    <row r="282" spans="1:7" ht="22.05" customHeight="1" x14ac:dyDescent="0.2">
      <c r="A282" s="448" t="s">
        <v>193</v>
      </c>
      <c r="B282" s="464">
        <f>VLOOKUP($A282,Table22[],2,FALSE)</f>
        <v>0</v>
      </c>
      <c r="C282" s="732">
        <f>VLOOKUP($A282,Table22[],3,FALSE)</f>
        <v>0</v>
      </c>
      <c r="D282" s="461" t="s">
        <v>1699</v>
      </c>
      <c r="E282" s="447" t="s">
        <v>203</v>
      </c>
      <c r="F282" s="453">
        <v>0</v>
      </c>
      <c r="G282" s="453">
        <v>0</v>
      </c>
    </row>
    <row r="283" spans="1:7" ht="22.05" customHeight="1" x14ac:dyDescent="0.2">
      <c r="A283" s="448" t="s">
        <v>195</v>
      </c>
      <c r="B283" s="464">
        <f>VLOOKUP($A283,Table22[],2,FALSE)</f>
        <v>0</v>
      </c>
      <c r="C283" s="732">
        <f>VLOOKUP($A283,Table22[],3,FALSE)</f>
        <v>0</v>
      </c>
      <c r="D283" s="461" t="s">
        <v>1700</v>
      </c>
      <c r="E283" s="447" t="s">
        <v>209</v>
      </c>
      <c r="F283" s="453">
        <f t="shared" ref="F283:G292" si="18">B283</f>
        <v>0</v>
      </c>
      <c r="G283" s="453">
        <f t="shared" si="18"/>
        <v>0</v>
      </c>
    </row>
    <row r="284" spans="1:7" ht="22.05" customHeight="1" x14ac:dyDescent="0.2">
      <c r="A284" s="448" t="s">
        <v>197</v>
      </c>
      <c r="B284" s="464">
        <f>VLOOKUP($A284,Table22[],2,FALSE)</f>
        <v>0</v>
      </c>
      <c r="C284" s="732">
        <f>VLOOKUP($A284,Table22[],3,FALSE)</f>
        <v>0</v>
      </c>
      <c r="D284" s="461" t="s">
        <v>1700</v>
      </c>
      <c r="E284" s="447" t="s">
        <v>183</v>
      </c>
      <c r="F284" s="453">
        <f t="shared" si="18"/>
        <v>0</v>
      </c>
      <c r="G284" s="453">
        <f t="shared" si="18"/>
        <v>0</v>
      </c>
    </row>
    <row r="285" spans="1:7" ht="22.05" customHeight="1" x14ac:dyDescent="0.2">
      <c r="A285" s="448" t="s">
        <v>198</v>
      </c>
      <c r="B285" s="464">
        <f>VLOOKUP($A285,Table22[],2,FALSE)</f>
        <v>0</v>
      </c>
      <c r="C285" s="732">
        <f>VLOOKUP($A285,Table22[],3,FALSE)</f>
        <v>0</v>
      </c>
      <c r="D285" s="461" t="s">
        <v>1700</v>
      </c>
      <c r="E285" s="447" t="s">
        <v>184</v>
      </c>
      <c r="F285" s="453">
        <f t="shared" si="18"/>
        <v>0</v>
      </c>
      <c r="G285" s="453">
        <f t="shared" si="18"/>
        <v>0</v>
      </c>
    </row>
    <row r="286" spans="1:7" ht="22.05" customHeight="1" x14ac:dyDescent="0.2">
      <c r="A286" s="448" t="s">
        <v>199</v>
      </c>
      <c r="B286" s="464">
        <f>VLOOKUP($A286,Table22[],2,FALSE)</f>
        <v>0</v>
      </c>
      <c r="C286" s="732">
        <f>VLOOKUP($A286,Table22[],3,FALSE)</f>
        <v>0</v>
      </c>
      <c r="D286" s="461" t="s">
        <v>1700</v>
      </c>
      <c r="E286" s="447" t="s">
        <v>185</v>
      </c>
      <c r="F286" s="453">
        <f t="shared" si="18"/>
        <v>0</v>
      </c>
      <c r="G286" s="453">
        <f t="shared" si="18"/>
        <v>0</v>
      </c>
    </row>
    <row r="287" spans="1:7" ht="22.05" customHeight="1" x14ac:dyDescent="0.2">
      <c r="A287" s="448" t="s">
        <v>200</v>
      </c>
      <c r="B287" s="464">
        <f>VLOOKUP($A287,Table22[],2,FALSE)</f>
        <v>0</v>
      </c>
      <c r="C287" s="732">
        <f>VLOOKUP($A287,Table22[],3,FALSE)</f>
        <v>0</v>
      </c>
      <c r="D287" s="461" t="s">
        <v>1700</v>
      </c>
      <c r="E287" s="447" t="s">
        <v>186</v>
      </c>
      <c r="F287" s="453">
        <f t="shared" si="18"/>
        <v>0</v>
      </c>
      <c r="G287" s="453">
        <f t="shared" si="18"/>
        <v>0</v>
      </c>
    </row>
    <row r="288" spans="1:7" ht="22.05" customHeight="1" x14ac:dyDescent="0.2">
      <c r="A288" s="448" t="s">
        <v>201</v>
      </c>
      <c r="B288" s="464">
        <f>VLOOKUP($A288,Table22[],2,FALSE)</f>
        <v>0</v>
      </c>
      <c r="C288" s="732">
        <f>VLOOKUP($A288,Table22[],3,FALSE)</f>
        <v>0</v>
      </c>
      <c r="D288" s="461" t="s">
        <v>1700</v>
      </c>
      <c r="E288" s="447" t="s">
        <v>187</v>
      </c>
      <c r="F288" s="453">
        <f t="shared" si="18"/>
        <v>0</v>
      </c>
      <c r="G288" s="453">
        <f t="shared" si="18"/>
        <v>0</v>
      </c>
    </row>
    <row r="289" spans="1:7" ht="22.05" customHeight="1" x14ac:dyDescent="0.2">
      <c r="A289" s="448" t="s">
        <v>202</v>
      </c>
      <c r="B289" s="464">
        <f>VLOOKUP($A289,Table22[],2,FALSE)</f>
        <v>0</v>
      </c>
      <c r="C289" s="732">
        <f>VLOOKUP($A289,Table22[],3,FALSE)</f>
        <v>0</v>
      </c>
      <c r="D289" s="461" t="s">
        <v>1700</v>
      </c>
      <c r="E289" s="447" t="s">
        <v>188</v>
      </c>
      <c r="F289" s="453">
        <f t="shared" si="18"/>
        <v>0</v>
      </c>
      <c r="G289" s="453">
        <f t="shared" si="18"/>
        <v>0</v>
      </c>
    </row>
    <row r="290" spans="1:7" ht="22.05" customHeight="1" x14ac:dyDescent="0.2">
      <c r="A290" s="448" t="s">
        <v>203</v>
      </c>
      <c r="B290" s="464">
        <f>VLOOKUP($A290,Table22[],2,FALSE)</f>
        <v>0</v>
      </c>
      <c r="C290" s="732">
        <f>VLOOKUP($A290,Table22[],3,FALSE)</f>
        <v>0</v>
      </c>
      <c r="D290" s="461" t="s">
        <v>1700</v>
      </c>
      <c r="E290" s="447" t="s">
        <v>189</v>
      </c>
      <c r="F290" s="453">
        <f t="shared" si="18"/>
        <v>0</v>
      </c>
      <c r="G290" s="453">
        <f t="shared" si="18"/>
        <v>0</v>
      </c>
    </row>
    <row r="291" spans="1:7" ht="22.05" customHeight="1" x14ac:dyDescent="0.2">
      <c r="A291" s="448" t="s">
        <v>204</v>
      </c>
      <c r="B291" s="464">
        <f>VLOOKUP($A291,Table22[],2,FALSE)</f>
        <v>0</v>
      </c>
      <c r="C291" s="732">
        <f>VLOOKUP($A291,Table22[],3,FALSE)</f>
        <v>0</v>
      </c>
      <c r="D291" s="461" t="s">
        <v>1700</v>
      </c>
      <c r="E291" s="447" t="s">
        <v>190</v>
      </c>
      <c r="F291" s="453">
        <f t="shared" si="18"/>
        <v>0</v>
      </c>
      <c r="G291" s="453">
        <f t="shared" si="18"/>
        <v>0</v>
      </c>
    </row>
    <row r="292" spans="1:7" ht="22.05" customHeight="1" x14ac:dyDescent="0.2">
      <c r="A292" s="448" t="s">
        <v>205</v>
      </c>
      <c r="B292" s="464">
        <f>VLOOKUP($A292,Table22[],2,FALSE)</f>
        <v>0</v>
      </c>
      <c r="C292" s="732">
        <f>VLOOKUP($A292,Table22[],3,FALSE)</f>
        <v>0</v>
      </c>
      <c r="D292" s="461" t="s">
        <v>1700</v>
      </c>
      <c r="E292" s="447" t="s">
        <v>191</v>
      </c>
      <c r="F292" s="453">
        <f t="shared" si="18"/>
        <v>0</v>
      </c>
      <c r="G292" s="453">
        <f t="shared" si="18"/>
        <v>0</v>
      </c>
    </row>
    <row r="293" spans="1:7" ht="22.05" customHeight="1" x14ac:dyDescent="0.2">
      <c r="A293" s="448" t="s">
        <v>207</v>
      </c>
      <c r="B293" s="464">
        <f>VLOOKUP($A293,Table22[],2,FALSE)</f>
        <v>0</v>
      </c>
      <c r="C293" s="732">
        <f>VLOOKUP($A293,Table22[],3,FALSE)</f>
        <v>0</v>
      </c>
      <c r="D293" s="461" t="s">
        <v>1701</v>
      </c>
      <c r="E293" s="447"/>
      <c r="F293" s="754"/>
      <c r="G293" s="754"/>
    </row>
    <row r="294" spans="1:7" ht="22.05" customHeight="1" x14ac:dyDescent="0.2">
      <c r="A294" s="448" t="s">
        <v>209</v>
      </c>
      <c r="B294" s="464">
        <f>VLOOKUP($A294,Table22[],2,FALSE)</f>
        <v>0</v>
      </c>
      <c r="C294" s="732">
        <f>VLOOKUP($A294,Table22[],3,FALSE)</f>
        <v>0</v>
      </c>
      <c r="D294" s="461" t="s">
        <v>1700</v>
      </c>
      <c r="E294" s="447" t="s">
        <v>192</v>
      </c>
      <c r="F294" s="453">
        <f t="shared" ref="F294:G300" si="19">B294</f>
        <v>0</v>
      </c>
      <c r="G294" s="453">
        <f t="shared" si="19"/>
        <v>0</v>
      </c>
    </row>
    <row r="295" spans="1:7" ht="22.05" customHeight="1" x14ac:dyDescent="0.2">
      <c r="A295" s="448" t="s">
        <v>211</v>
      </c>
      <c r="B295" s="464">
        <f>VLOOKUP($A295,Table22[],2,FALSE)</f>
        <v>0</v>
      </c>
      <c r="C295" s="732">
        <f>VLOOKUP($A295,Table22[],3,FALSE)</f>
        <v>0</v>
      </c>
      <c r="D295" s="461" t="s">
        <v>1700</v>
      </c>
      <c r="E295" s="447" t="s">
        <v>193</v>
      </c>
      <c r="F295" s="453">
        <f t="shared" si="19"/>
        <v>0</v>
      </c>
      <c r="G295" s="453">
        <f t="shared" si="19"/>
        <v>0</v>
      </c>
    </row>
    <row r="296" spans="1:7" ht="22.05" customHeight="1" x14ac:dyDescent="0.2">
      <c r="A296" s="448" t="s">
        <v>213</v>
      </c>
      <c r="B296" s="464">
        <f>VLOOKUP($A296,Table22[],2,FALSE)</f>
        <v>0</v>
      </c>
      <c r="C296" s="732">
        <f>VLOOKUP($A296,Table22[],3,FALSE)</f>
        <v>0</v>
      </c>
      <c r="D296" s="461" t="s">
        <v>1700</v>
      </c>
      <c r="E296" s="447" t="s">
        <v>195</v>
      </c>
      <c r="F296" s="453">
        <f t="shared" si="19"/>
        <v>0</v>
      </c>
      <c r="G296" s="453">
        <f t="shared" si="19"/>
        <v>0</v>
      </c>
    </row>
    <row r="297" spans="1:7" ht="22.05" customHeight="1" x14ac:dyDescent="0.2">
      <c r="A297" s="448" t="s">
        <v>215</v>
      </c>
      <c r="B297" s="464">
        <f>VLOOKUP($A297,Table22[],2,FALSE)</f>
        <v>0</v>
      </c>
      <c r="C297" s="732">
        <f>VLOOKUP($A297,Table22[],3,FALSE)</f>
        <v>0</v>
      </c>
      <c r="D297" s="461" t="s">
        <v>1700</v>
      </c>
      <c r="E297" s="447" t="s">
        <v>215</v>
      </c>
      <c r="F297" s="453">
        <f t="shared" si="19"/>
        <v>0</v>
      </c>
      <c r="G297" s="453">
        <f t="shared" si="19"/>
        <v>0</v>
      </c>
    </row>
    <row r="298" spans="1:7" ht="22.05" customHeight="1" x14ac:dyDescent="0.2">
      <c r="A298" s="448" t="s">
        <v>216</v>
      </c>
      <c r="B298" s="464">
        <f>VLOOKUP($A298,Table22[],2,FALSE)</f>
        <v>0</v>
      </c>
      <c r="C298" s="732">
        <f>VLOOKUP($A298,Table22[],3,FALSE)</f>
        <v>0</v>
      </c>
      <c r="D298" s="461" t="s">
        <v>1700</v>
      </c>
      <c r="E298" s="447" t="s">
        <v>216</v>
      </c>
      <c r="F298" s="453">
        <f t="shared" si="19"/>
        <v>0</v>
      </c>
      <c r="G298" s="453">
        <f t="shared" si="19"/>
        <v>0</v>
      </c>
    </row>
    <row r="299" spans="1:7" ht="22.05" customHeight="1" x14ac:dyDescent="0.2">
      <c r="A299" s="448" t="s">
        <v>217</v>
      </c>
      <c r="B299" s="464">
        <f>VLOOKUP($A299,Table22[],2,FALSE)</f>
        <v>0</v>
      </c>
      <c r="C299" s="732">
        <f>VLOOKUP($A299,Table22[],3,FALSE)</f>
        <v>0</v>
      </c>
      <c r="D299" s="461" t="s">
        <v>1700</v>
      </c>
      <c r="E299" s="447" t="s">
        <v>218</v>
      </c>
      <c r="F299" s="453">
        <f t="shared" si="19"/>
        <v>0</v>
      </c>
      <c r="G299" s="453">
        <f t="shared" si="19"/>
        <v>0</v>
      </c>
    </row>
    <row r="300" spans="1:7" ht="22.05" customHeight="1" x14ac:dyDescent="0.2">
      <c r="A300" s="448" t="s">
        <v>218</v>
      </c>
      <c r="B300" s="464">
        <f>VLOOKUP($A300,Table22[],2,FALSE)</f>
        <v>0</v>
      </c>
      <c r="C300" s="732">
        <f>VLOOKUP($A300,Table22[],3,FALSE)</f>
        <v>0</v>
      </c>
      <c r="D300" s="461" t="s">
        <v>1700</v>
      </c>
      <c r="E300" s="447" t="s">
        <v>219</v>
      </c>
      <c r="F300" s="453">
        <f t="shared" si="19"/>
        <v>0</v>
      </c>
      <c r="G300" s="453">
        <f t="shared" si="19"/>
        <v>0</v>
      </c>
    </row>
    <row r="301" spans="1:7" ht="22.05" customHeight="1" x14ac:dyDescent="0.2">
      <c r="A301" s="448" t="s">
        <v>219</v>
      </c>
      <c r="B301" s="464">
        <f>VLOOKUP($A301,Table22[],2,FALSE)</f>
        <v>0</v>
      </c>
      <c r="C301" s="732">
        <f>VLOOKUP($A301,Table22[],3,FALSE)</f>
        <v>0</v>
      </c>
      <c r="D301" s="461" t="s">
        <v>1699</v>
      </c>
      <c r="E301" s="447" t="s">
        <v>217</v>
      </c>
      <c r="F301" s="453">
        <v>0</v>
      </c>
      <c r="G301" s="453">
        <v>0</v>
      </c>
    </row>
    <row r="302" spans="1:7" ht="22.05" customHeight="1" x14ac:dyDescent="0.2">
      <c r="A302" s="448" t="s">
        <v>220</v>
      </c>
      <c r="B302" s="464">
        <f>VLOOKUP($A302,Table22[],2,FALSE)</f>
        <v>0</v>
      </c>
      <c r="C302" s="732">
        <f>VLOOKUP($A302,Table22[],3,FALSE)</f>
        <v>0</v>
      </c>
      <c r="D302" s="461" t="s">
        <v>1699</v>
      </c>
      <c r="E302" s="447" t="s">
        <v>220</v>
      </c>
      <c r="F302" s="453">
        <v>0</v>
      </c>
      <c r="G302" s="453">
        <v>0</v>
      </c>
    </row>
    <row r="303" spans="1:7" ht="22.05" customHeight="1" x14ac:dyDescent="0.2">
      <c r="A303" s="448" t="s">
        <v>221</v>
      </c>
      <c r="B303" s="464">
        <f>VLOOKUP($A303,Table22[],2,FALSE)</f>
        <v>0</v>
      </c>
      <c r="C303" s="732">
        <f>VLOOKUP($A303,Table22[],3,FALSE)</f>
        <v>0</v>
      </c>
      <c r="D303" s="461" t="s">
        <v>1701</v>
      </c>
      <c r="E303" s="447"/>
      <c r="F303" s="754"/>
      <c r="G303" s="754"/>
    </row>
    <row r="304" spans="1:7" ht="22.05" customHeight="1" x14ac:dyDescent="0.2">
      <c r="A304" s="448" t="s">
        <v>315</v>
      </c>
      <c r="B304" s="464">
        <f>VLOOKUP($A304,Table22[],2,FALSE)</f>
        <v>0</v>
      </c>
      <c r="C304" s="732">
        <f>VLOOKUP($A304,Table22[],3,FALSE)</f>
        <v>0</v>
      </c>
      <c r="D304" s="461" t="s">
        <v>1700</v>
      </c>
      <c r="E304" s="447" t="s">
        <v>315</v>
      </c>
      <c r="F304" s="453">
        <f t="shared" ref="F304:G330" si="20">B304</f>
        <v>0</v>
      </c>
      <c r="G304" s="453">
        <f t="shared" si="20"/>
        <v>0</v>
      </c>
    </row>
    <row r="305" spans="1:7" ht="22.05" customHeight="1" x14ac:dyDescent="0.2">
      <c r="A305" s="448" t="s">
        <v>316</v>
      </c>
      <c r="B305" s="464">
        <f>VLOOKUP($A305,Table22[],2,FALSE)</f>
        <v>0</v>
      </c>
      <c r="C305" s="732">
        <f>VLOOKUP($A305,Table22[],3,FALSE)</f>
        <v>0</v>
      </c>
      <c r="D305" s="461" t="s">
        <v>1700</v>
      </c>
      <c r="E305" s="447" t="s">
        <v>316</v>
      </c>
      <c r="F305" s="453">
        <f t="shared" si="20"/>
        <v>0</v>
      </c>
      <c r="G305" s="453">
        <f t="shared" si="20"/>
        <v>0</v>
      </c>
    </row>
    <row r="306" spans="1:7" ht="22.05" customHeight="1" x14ac:dyDescent="0.2">
      <c r="A306" s="448" t="s">
        <v>317</v>
      </c>
      <c r="B306" s="464">
        <f>VLOOKUP($A306,Table22[],2,FALSE)</f>
        <v>0</v>
      </c>
      <c r="C306" s="732">
        <f>VLOOKUP($A306,Table22[],3,FALSE)</f>
        <v>0</v>
      </c>
      <c r="D306" s="461" t="s">
        <v>1700</v>
      </c>
      <c r="E306" s="447" t="s">
        <v>317</v>
      </c>
      <c r="F306" s="453">
        <f t="shared" si="20"/>
        <v>0</v>
      </c>
      <c r="G306" s="453">
        <f t="shared" si="20"/>
        <v>0</v>
      </c>
    </row>
    <row r="307" spans="1:7" ht="22.05" customHeight="1" x14ac:dyDescent="0.2">
      <c r="A307" s="448" t="s">
        <v>318</v>
      </c>
      <c r="B307" s="464">
        <f>VLOOKUP($A307,Table22[],2,FALSE)</f>
        <v>0</v>
      </c>
      <c r="C307" s="732">
        <f>VLOOKUP($A307,Table22[],3,FALSE)</f>
        <v>0</v>
      </c>
      <c r="D307" s="461" t="s">
        <v>1700</v>
      </c>
      <c r="E307" s="447" t="s">
        <v>318</v>
      </c>
      <c r="F307" s="453">
        <f t="shared" si="20"/>
        <v>0</v>
      </c>
      <c r="G307" s="453">
        <f t="shared" si="20"/>
        <v>0</v>
      </c>
    </row>
    <row r="308" spans="1:7" ht="22.05" customHeight="1" x14ac:dyDescent="0.2">
      <c r="A308" s="448" t="s">
        <v>319</v>
      </c>
      <c r="B308" s="464">
        <f>VLOOKUP($A308,Table22[],2,FALSE)</f>
        <v>0</v>
      </c>
      <c r="C308" s="732">
        <f>VLOOKUP($A308,Table22[],3,FALSE)</f>
        <v>0</v>
      </c>
      <c r="D308" s="461" t="s">
        <v>1700</v>
      </c>
      <c r="E308" s="447" t="s">
        <v>319</v>
      </c>
      <c r="F308" s="453">
        <f t="shared" si="20"/>
        <v>0</v>
      </c>
      <c r="G308" s="453">
        <f t="shared" si="20"/>
        <v>0</v>
      </c>
    </row>
    <row r="309" spans="1:7" ht="22.05" customHeight="1" x14ac:dyDescent="0.2">
      <c r="A309" s="448" t="s">
        <v>320</v>
      </c>
      <c r="B309" s="464">
        <f>VLOOKUP($A309,Table22[],2,FALSE)</f>
        <v>0</v>
      </c>
      <c r="C309" s="732">
        <f>VLOOKUP($A309,Table22[],3,FALSE)</f>
        <v>0</v>
      </c>
      <c r="D309" s="461" t="s">
        <v>1700</v>
      </c>
      <c r="E309" s="447" t="s">
        <v>320</v>
      </c>
      <c r="F309" s="453">
        <f t="shared" si="20"/>
        <v>0</v>
      </c>
      <c r="G309" s="453">
        <f t="shared" si="20"/>
        <v>0</v>
      </c>
    </row>
    <row r="310" spans="1:7" ht="22.05" customHeight="1" x14ac:dyDescent="0.2">
      <c r="A310" s="448" t="s">
        <v>321</v>
      </c>
      <c r="B310" s="464">
        <f>VLOOKUP($A310,Table22[],2,FALSE)</f>
        <v>0</v>
      </c>
      <c r="C310" s="732">
        <f>VLOOKUP($A310,Table22[],3,FALSE)</f>
        <v>0</v>
      </c>
      <c r="D310" s="461" t="s">
        <v>1700</v>
      </c>
      <c r="E310" s="447" t="s">
        <v>321</v>
      </c>
      <c r="F310" s="453">
        <f t="shared" si="20"/>
        <v>0</v>
      </c>
      <c r="G310" s="453">
        <f t="shared" si="20"/>
        <v>0</v>
      </c>
    </row>
    <row r="311" spans="1:7" ht="22.05" customHeight="1" x14ac:dyDescent="0.2">
      <c r="A311" s="448" t="s">
        <v>322</v>
      </c>
      <c r="B311" s="464">
        <f>VLOOKUP($A311,Table22[],2,FALSE)</f>
        <v>0</v>
      </c>
      <c r="C311" s="732">
        <f>VLOOKUP($A311,Table22[],3,FALSE)</f>
        <v>0</v>
      </c>
      <c r="D311" s="461" t="s">
        <v>1700</v>
      </c>
      <c r="E311" s="447" t="s">
        <v>322</v>
      </c>
      <c r="F311" s="453">
        <f t="shared" si="20"/>
        <v>0</v>
      </c>
      <c r="G311" s="453">
        <f t="shared" si="20"/>
        <v>0</v>
      </c>
    </row>
    <row r="312" spans="1:7" ht="22.05" customHeight="1" x14ac:dyDescent="0.2">
      <c r="A312" s="448" t="s">
        <v>323</v>
      </c>
      <c r="B312" s="464">
        <f>VLOOKUP($A312,Table22[],2,FALSE)</f>
        <v>0</v>
      </c>
      <c r="C312" s="732">
        <f>VLOOKUP($A312,Table22[],3,FALSE)</f>
        <v>0</v>
      </c>
      <c r="D312" s="461" t="s">
        <v>1700</v>
      </c>
      <c r="E312" s="447" t="s">
        <v>323</v>
      </c>
      <c r="F312" s="453">
        <f t="shared" si="20"/>
        <v>0</v>
      </c>
      <c r="G312" s="453">
        <f t="shared" si="20"/>
        <v>0</v>
      </c>
    </row>
    <row r="313" spans="1:7" ht="22.05" customHeight="1" x14ac:dyDescent="0.2">
      <c r="A313" s="448" t="s">
        <v>324</v>
      </c>
      <c r="B313" s="464">
        <f>VLOOKUP($A313,Table22[],2,FALSE)</f>
        <v>0</v>
      </c>
      <c r="C313" s="732">
        <f>VLOOKUP($A313,Table22[],3,FALSE)</f>
        <v>0</v>
      </c>
      <c r="D313" s="461" t="s">
        <v>1700</v>
      </c>
      <c r="E313" s="447" t="s">
        <v>324</v>
      </c>
      <c r="F313" s="453">
        <f t="shared" si="20"/>
        <v>0</v>
      </c>
      <c r="G313" s="453">
        <f t="shared" si="20"/>
        <v>0</v>
      </c>
    </row>
    <row r="314" spans="1:7" ht="22.05" customHeight="1" x14ac:dyDescent="0.2">
      <c r="A314" s="448" t="s">
        <v>325</v>
      </c>
      <c r="B314" s="464">
        <f>VLOOKUP($A314,Table22[],2,FALSE)</f>
        <v>0</v>
      </c>
      <c r="C314" s="732">
        <f>VLOOKUP($A314,Table22[],3,FALSE)</f>
        <v>0</v>
      </c>
      <c r="D314" s="461" t="s">
        <v>1700</v>
      </c>
      <c r="E314" s="447" t="s">
        <v>325</v>
      </c>
      <c r="F314" s="453">
        <f t="shared" si="20"/>
        <v>0</v>
      </c>
      <c r="G314" s="453">
        <f t="shared" si="20"/>
        <v>0</v>
      </c>
    </row>
    <row r="315" spans="1:7" ht="22.05" customHeight="1" x14ac:dyDescent="0.2">
      <c r="A315" s="448" t="s">
        <v>326</v>
      </c>
      <c r="B315" s="464">
        <f>VLOOKUP($A315,Table22[],2,FALSE)</f>
        <v>0</v>
      </c>
      <c r="C315" s="732">
        <f>VLOOKUP($A315,Table22[],3,FALSE)</f>
        <v>0</v>
      </c>
      <c r="D315" s="461" t="s">
        <v>1700</v>
      </c>
      <c r="E315" s="447" t="s">
        <v>326</v>
      </c>
      <c r="F315" s="453">
        <f t="shared" si="20"/>
        <v>0</v>
      </c>
      <c r="G315" s="453">
        <f t="shared" si="20"/>
        <v>0</v>
      </c>
    </row>
    <row r="316" spans="1:7" ht="22.05" customHeight="1" x14ac:dyDescent="0.2">
      <c r="A316" s="448" t="s">
        <v>327</v>
      </c>
      <c r="B316" s="464">
        <f>VLOOKUP($A316,Table22[],2,FALSE)</f>
        <v>0</v>
      </c>
      <c r="C316" s="732">
        <f>VLOOKUP($A316,Table22[],3,FALSE)</f>
        <v>0</v>
      </c>
      <c r="D316" s="461" t="s">
        <v>1700</v>
      </c>
      <c r="E316" s="447" t="s">
        <v>327</v>
      </c>
      <c r="F316" s="453">
        <f t="shared" si="20"/>
        <v>0</v>
      </c>
      <c r="G316" s="453">
        <f t="shared" si="20"/>
        <v>0</v>
      </c>
    </row>
    <row r="317" spans="1:7" ht="22.05" customHeight="1" x14ac:dyDescent="0.2">
      <c r="A317" s="448" t="s">
        <v>328</v>
      </c>
      <c r="B317" s="464">
        <f>VLOOKUP($A317,Table22[],2,FALSE)</f>
        <v>0</v>
      </c>
      <c r="C317" s="732">
        <f>VLOOKUP($A317,Table22[],3,FALSE)</f>
        <v>0</v>
      </c>
      <c r="D317" s="461" t="s">
        <v>1700</v>
      </c>
      <c r="E317" s="447" t="s">
        <v>328</v>
      </c>
      <c r="F317" s="453">
        <f t="shared" si="20"/>
        <v>0</v>
      </c>
      <c r="G317" s="453">
        <f t="shared" si="20"/>
        <v>0</v>
      </c>
    </row>
    <row r="318" spans="1:7" ht="22.05" customHeight="1" x14ac:dyDescent="0.2">
      <c r="A318" s="448" t="s">
        <v>329</v>
      </c>
      <c r="B318" s="464">
        <f>VLOOKUP($A318,Table22[],2,FALSE)</f>
        <v>0</v>
      </c>
      <c r="C318" s="732">
        <f>VLOOKUP($A318,Table22[],3,FALSE)</f>
        <v>0</v>
      </c>
      <c r="D318" s="461" t="s">
        <v>1700</v>
      </c>
      <c r="E318" s="447" t="s">
        <v>329</v>
      </c>
      <c r="F318" s="453">
        <f t="shared" si="20"/>
        <v>0</v>
      </c>
      <c r="G318" s="453">
        <f t="shared" si="20"/>
        <v>0</v>
      </c>
    </row>
    <row r="319" spans="1:7" ht="22.05" customHeight="1" x14ac:dyDescent="0.2">
      <c r="A319" s="448" t="s">
        <v>330</v>
      </c>
      <c r="B319" s="464">
        <f>VLOOKUP($A319,Table22[],2,FALSE)</f>
        <v>0</v>
      </c>
      <c r="C319" s="732">
        <f>VLOOKUP($A319,Table22[],3,FALSE)</f>
        <v>0</v>
      </c>
      <c r="D319" s="461" t="s">
        <v>1700</v>
      </c>
      <c r="E319" s="447" t="s">
        <v>330</v>
      </c>
      <c r="F319" s="453">
        <f t="shared" si="20"/>
        <v>0</v>
      </c>
      <c r="G319" s="453">
        <f t="shared" si="20"/>
        <v>0</v>
      </c>
    </row>
    <row r="320" spans="1:7" ht="22.05" customHeight="1" x14ac:dyDescent="0.2">
      <c r="A320" s="448" t="s">
        <v>331</v>
      </c>
      <c r="B320" s="464">
        <f>VLOOKUP($A320,Table22[],2,FALSE)</f>
        <v>0</v>
      </c>
      <c r="C320" s="732">
        <f>VLOOKUP($A320,Table22[],3,FALSE)</f>
        <v>0</v>
      </c>
      <c r="D320" s="461" t="s">
        <v>1700</v>
      </c>
      <c r="E320" s="447" t="s">
        <v>332</v>
      </c>
      <c r="F320" s="453">
        <f t="shared" si="20"/>
        <v>0</v>
      </c>
      <c r="G320" s="453">
        <f t="shared" si="20"/>
        <v>0</v>
      </c>
    </row>
    <row r="321" spans="1:7" ht="22.05" customHeight="1" x14ac:dyDescent="0.2">
      <c r="A321" s="448" t="s">
        <v>332</v>
      </c>
      <c r="B321" s="464">
        <f>VLOOKUP($A321,Table22[],2,FALSE)</f>
        <v>0</v>
      </c>
      <c r="C321" s="732">
        <f>VLOOKUP($A321,Table22[],3,FALSE)</f>
        <v>0</v>
      </c>
      <c r="D321" s="461" t="s">
        <v>1700</v>
      </c>
      <c r="E321" s="447" t="s">
        <v>1077</v>
      </c>
      <c r="F321" s="453">
        <f t="shared" si="20"/>
        <v>0</v>
      </c>
      <c r="G321" s="453">
        <f t="shared" si="20"/>
        <v>0</v>
      </c>
    </row>
    <row r="322" spans="1:7" ht="22.05" customHeight="1" x14ac:dyDescent="0.2">
      <c r="A322" s="448" t="s">
        <v>333</v>
      </c>
      <c r="B322" s="464">
        <f>VLOOKUP($A322,Table22[],2,FALSE)</f>
        <v>0</v>
      </c>
      <c r="C322" s="732">
        <f>VLOOKUP($A322,Table22[],3,FALSE)</f>
        <v>0</v>
      </c>
      <c r="D322" s="461" t="s">
        <v>1700</v>
      </c>
      <c r="E322" s="447" t="s">
        <v>333</v>
      </c>
      <c r="F322" s="453">
        <f t="shared" si="20"/>
        <v>0</v>
      </c>
      <c r="G322" s="453">
        <f t="shared" si="20"/>
        <v>0</v>
      </c>
    </row>
    <row r="323" spans="1:7" ht="22.05" customHeight="1" x14ac:dyDescent="0.2">
      <c r="A323" s="448" t="s">
        <v>334</v>
      </c>
      <c r="B323" s="464">
        <f>VLOOKUP($A323,Table22[],2,FALSE)</f>
        <v>0</v>
      </c>
      <c r="C323" s="732">
        <f>VLOOKUP($A323,Table22[],3,FALSE)</f>
        <v>0</v>
      </c>
      <c r="D323" s="461" t="s">
        <v>1700</v>
      </c>
      <c r="E323" s="447" t="s">
        <v>334</v>
      </c>
      <c r="F323" s="453">
        <f t="shared" si="20"/>
        <v>0</v>
      </c>
      <c r="G323" s="453">
        <f t="shared" si="20"/>
        <v>0</v>
      </c>
    </row>
    <row r="324" spans="1:7" ht="22.05" customHeight="1" x14ac:dyDescent="0.2">
      <c r="A324" s="448" t="s">
        <v>335</v>
      </c>
      <c r="B324" s="464">
        <f>VLOOKUP($A324,Table22[],2,FALSE)</f>
        <v>0</v>
      </c>
      <c r="C324" s="732">
        <f>VLOOKUP($A324,Table22[],3,FALSE)</f>
        <v>0</v>
      </c>
      <c r="D324" s="461" t="s">
        <v>1700</v>
      </c>
      <c r="E324" s="447" t="s">
        <v>335</v>
      </c>
      <c r="F324" s="453">
        <f t="shared" si="20"/>
        <v>0</v>
      </c>
      <c r="G324" s="453">
        <f t="shared" si="20"/>
        <v>0</v>
      </c>
    </row>
    <row r="325" spans="1:7" ht="22.05" customHeight="1" x14ac:dyDescent="0.2">
      <c r="A325" s="448" t="s">
        <v>336</v>
      </c>
      <c r="B325" s="464">
        <f>VLOOKUP($A325,Table22[],2,FALSE)</f>
        <v>0</v>
      </c>
      <c r="C325" s="732">
        <f>VLOOKUP($A325,Table22[],3,FALSE)</f>
        <v>0</v>
      </c>
      <c r="D325" s="461" t="s">
        <v>1700</v>
      </c>
      <c r="E325" s="447" t="s">
        <v>336</v>
      </c>
      <c r="F325" s="453">
        <f t="shared" si="20"/>
        <v>0</v>
      </c>
      <c r="G325" s="453">
        <f t="shared" si="20"/>
        <v>0</v>
      </c>
    </row>
    <row r="326" spans="1:7" ht="22.05" customHeight="1" x14ac:dyDescent="0.2">
      <c r="A326" s="448" t="s">
        <v>337</v>
      </c>
      <c r="B326" s="464">
        <f>VLOOKUP($A326,Table22[],2,FALSE)</f>
        <v>0</v>
      </c>
      <c r="C326" s="732">
        <f>VLOOKUP($A326,Table22[],3,FALSE)</f>
        <v>0</v>
      </c>
      <c r="D326" s="461" t="s">
        <v>1700</v>
      </c>
      <c r="E326" s="447" t="s">
        <v>337</v>
      </c>
      <c r="F326" s="453">
        <f t="shared" si="20"/>
        <v>0</v>
      </c>
      <c r="G326" s="453">
        <f t="shared" si="20"/>
        <v>0</v>
      </c>
    </row>
    <row r="327" spans="1:7" ht="22.05" customHeight="1" x14ac:dyDescent="0.2">
      <c r="A327" s="448" t="s">
        <v>338</v>
      </c>
      <c r="B327" s="464">
        <f>VLOOKUP($A327,Table22[],2,FALSE)</f>
        <v>0</v>
      </c>
      <c r="C327" s="732">
        <f>VLOOKUP($A327,Table22[],3,FALSE)</f>
        <v>0</v>
      </c>
      <c r="D327" s="461" t="s">
        <v>1700</v>
      </c>
      <c r="E327" s="447" t="s">
        <v>338</v>
      </c>
      <c r="F327" s="453">
        <f t="shared" si="20"/>
        <v>0</v>
      </c>
      <c r="G327" s="453">
        <f t="shared" si="20"/>
        <v>0</v>
      </c>
    </row>
    <row r="328" spans="1:7" ht="22.05" customHeight="1" x14ac:dyDescent="0.2">
      <c r="A328" s="448" t="s">
        <v>339</v>
      </c>
      <c r="B328" s="464">
        <f>VLOOKUP($A328,Table22[],2,FALSE)</f>
        <v>0</v>
      </c>
      <c r="C328" s="732">
        <f>VLOOKUP($A328,Table22[],3,FALSE)</f>
        <v>0</v>
      </c>
      <c r="D328" s="461" t="s">
        <v>1700</v>
      </c>
      <c r="E328" s="447" t="s">
        <v>339</v>
      </c>
      <c r="F328" s="453">
        <f t="shared" si="20"/>
        <v>0</v>
      </c>
      <c r="G328" s="453">
        <f t="shared" si="20"/>
        <v>0</v>
      </c>
    </row>
    <row r="329" spans="1:7" ht="22.05" customHeight="1" x14ac:dyDescent="0.2">
      <c r="A329" s="448" t="s">
        <v>340</v>
      </c>
      <c r="B329" s="464">
        <f>VLOOKUP($A329,Table22[],2,FALSE)</f>
        <v>0</v>
      </c>
      <c r="C329" s="732">
        <f>VLOOKUP($A329,Table22[],3,FALSE)</f>
        <v>0</v>
      </c>
      <c r="D329" s="461" t="s">
        <v>1700</v>
      </c>
      <c r="E329" s="447" t="s">
        <v>341</v>
      </c>
      <c r="F329" s="453">
        <f t="shared" si="20"/>
        <v>0</v>
      </c>
      <c r="G329" s="453">
        <f t="shared" si="20"/>
        <v>0</v>
      </c>
    </row>
    <row r="330" spans="1:7" ht="22.05" customHeight="1" x14ac:dyDescent="0.2">
      <c r="A330" s="448" t="s">
        <v>341</v>
      </c>
      <c r="B330" s="464">
        <f>VLOOKUP($A330,Table22[],2,FALSE)</f>
        <v>0</v>
      </c>
      <c r="C330" s="732">
        <f>VLOOKUP($A330,Table22[],3,FALSE)</f>
        <v>0</v>
      </c>
      <c r="D330" s="461" t="s">
        <v>1700</v>
      </c>
      <c r="E330" s="447" t="s">
        <v>342</v>
      </c>
      <c r="F330" s="453">
        <f t="shared" si="20"/>
        <v>0</v>
      </c>
      <c r="G330" s="453">
        <f t="shared" si="20"/>
        <v>0</v>
      </c>
    </row>
    <row r="331" spans="1:7" ht="22.05" customHeight="1" x14ac:dyDescent="0.2">
      <c r="A331" s="448" t="s">
        <v>342</v>
      </c>
      <c r="B331" s="464">
        <f>VLOOKUP($A331,Table22[],2,FALSE)</f>
        <v>0</v>
      </c>
      <c r="C331" s="732">
        <f>VLOOKUP($A331,Table22[],3,FALSE)</f>
        <v>0</v>
      </c>
      <c r="D331" s="461" t="s">
        <v>1699</v>
      </c>
      <c r="E331" s="447" t="s">
        <v>340</v>
      </c>
      <c r="F331" s="453">
        <v>0</v>
      </c>
      <c r="G331" s="453">
        <v>0</v>
      </c>
    </row>
    <row r="332" spans="1:7" ht="22.05" customHeight="1" x14ac:dyDescent="0.2">
      <c r="A332" s="448" t="s">
        <v>343</v>
      </c>
      <c r="B332" s="464">
        <f>VLOOKUP($A332,Table22[],2,FALSE)</f>
        <v>0</v>
      </c>
      <c r="C332" s="732">
        <f>VLOOKUP($A332,Table22[],3,FALSE)</f>
        <v>0</v>
      </c>
      <c r="D332" s="461" t="s">
        <v>1699</v>
      </c>
      <c r="E332" s="447" t="s">
        <v>343</v>
      </c>
      <c r="F332" s="453">
        <v>0</v>
      </c>
      <c r="G332" s="453">
        <v>0</v>
      </c>
    </row>
    <row r="333" spans="1:7" ht="22.05" customHeight="1" thickBot="1" x14ac:dyDescent="0.25">
      <c r="A333" s="448" t="s">
        <v>344</v>
      </c>
      <c r="B333" s="465">
        <f>VLOOKUP($A333,Table22[],2,FALSE)</f>
        <v>0</v>
      </c>
      <c r="C333" s="732">
        <f>VLOOKUP($A333,Table22[],3,FALSE)</f>
        <v>0</v>
      </c>
      <c r="D333" s="461" t="s">
        <v>1701</v>
      </c>
      <c r="E333" s="447"/>
      <c r="F333" s="754"/>
      <c r="G333" s="754"/>
    </row>
    <row r="334" spans="1:7" ht="22.05" customHeight="1" x14ac:dyDescent="0.2">
      <c r="C334" s="446" t="e">
        <f>VLOOKUP($A334,Table22[],3,FALSE)</f>
        <v>#N/A</v>
      </c>
      <c r="D334" s="456" t="s">
        <v>1691</v>
      </c>
      <c r="E334" s="447" t="s">
        <v>176</v>
      </c>
      <c r="F334" s="453">
        <v>0</v>
      </c>
      <c r="G334" s="453">
        <v>0</v>
      </c>
    </row>
    <row r="335" spans="1:7" ht="22.05" customHeight="1" x14ac:dyDescent="0.2">
      <c r="C335" s="446" t="e">
        <f>VLOOKUP($A335,Table22[],3,FALSE)</f>
        <v>#N/A</v>
      </c>
      <c r="D335" s="456" t="s">
        <v>1691</v>
      </c>
      <c r="E335" s="447" t="s">
        <v>177</v>
      </c>
      <c r="F335" s="453">
        <v>0</v>
      </c>
      <c r="G335" s="453">
        <v>0</v>
      </c>
    </row>
    <row r="336" spans="1:7" ht="22.05" customHeight="1" x14ac:dyDescent="0.2">
      <c r="C336" s="446" t="e">
        <f>VLOOKUP($A336,Table22[],3,FALSE)</f>
        <v>#N/A</v>
      </c>
      <c r="D336" s="456" t="s">
        <v>1691</v>
      </c>
      <c r="E336" s="447" t="s">
        <v>178</v>
      </c>
      <c r="F336" s="453">
        <v>0</v>
      </c>
      <c r="G336" s="453">
        <v>0</v>
      </c>
    </row>
    <row r="337" spans="3:7" ht="22.05" customHeight="1" x14ac:dyDescent="0.2">
      <c r="C337" s="446" t="e">
        <f>VLOOKUP($A337,Table22[],3,FALSE)</f>
        <v>#N/A</v>
      </c>
      <c r="D337" s="456" t="s">
        <v>1691</v>
      </c>
      <c r="E337" s="447" t="s">
        <v>179</v>
      </c>
      <c r="F337" s="453">
        <v>0</v>
      </c>
      <c r="G337" s="453">
        <v>0</v>
      </c>
    </row>
    <row r="338" spans="3:7" ht="22.05" customHeight="1" x14ac:dyDescent="0.2">
      <c r="C338" s="446" t="e">
        <f>VLOOKUP($A338,Table22[],3,FALSE)</f>
        <v>#N/A</v>
      </c>
      <c r="D338" s="456" t="s">
        <v>1691</v>
      </c>
      <c r="E338" s="447" t="s">
        <v>180</v>
      </c>
      <c r="F338" s="453">
        <v>0</v>
      </c>
      <c r="G338" s="453">
        <v>0</v>
      </c>
    </row>
    <row r="339" spans="3:7" ht="22.05" customHeight="1" x14ac:dyDescent="0.2">
      <c r="C339" s="446" t="e">
        <f>VLOOKUP($A339,Table22[],3,FALSE)</f>
        <v>#N/A</v>
      </c>
      <c r="D339" s="456" t="s">
        <v>1691</v>
      </c>
      <c r="E339" s="447" t="s">
        <v>181</v>
      </c>
      <c r="F339" s="453">
        <v>0</v>
      </c>
      <c r="G339" s="453">
        <v>0</v>
      </c>
    </row>
    <row r="340" spans="3:7" ht="22.05" customHeight="1" x14ac:dyDescent="0.2">
      <c r="C340" s="446" t="e">
        <f>VLOOKUP($A340,Table22[],3,FALSE)</f>
        <v>#N/A</v>
      </c>
      <c r="D340" s="456" t="s">
        <v>1691</v>
      </c>
      <c r="E340" s="447" t="s">
        <v>182</v>
      </c>
      <c r="F340" s="453">
        <v>0</v>
      </c>
      <c r="G340" s="453">
        <v>0</v>
      </c>
    </row>
    <row r="341" spans="3:7" ht="22.05" customHeight="1" x14ac:dyDescent="0.2">
      <c r="C341" s="446" t="e">
        <f>VLOOKUP($A341,Table22[],3,FALSE)</f>
        <v>#N/A</v>
      </c>
      <c r="D341" s="456" t="s">
        <v>1691</v>
      </c>
      <c r="E341" s="447" t="s">
        <v>1051</v>
      </c>
      <c r="F341" s="453">
        <v>0</v>
      </c>
      <c r="G341" s="453">
        <v>0</v>
      </c>
    </row>
    <row r="342" spans="3:7" ht="22.05" customHeight="1" x14ac:dyDescent="0.2">
      <c r="C342" s="446" t="e">
        <f>VLOOKUP($A342,Table22[],3,FALSE)</f>
        <v>#N/A</v>
      </c>
      <c r="D342" s="456" t="s">
        <v>1691</v>
      </c>
      <c r="E342" s="447" t="s">
        <v>1052</v>
      </c>
      <c r="F342" s="453">
        <v>0</v>
      </c>
      <c r="G342" s="453">
        <v>0</v>
      </c>
    </row>
    <row r="343" spans="3:7" ht="22.05" customHeight="1" x14ac:dyDescent="0.2">
      <c r="C343" s="446" t="e">
        <f>VLOOKUP($A343,Table22[],3,FALSE)</f>
        <v>#N/A</v>
      </c>
      <c r="D343" s="457" t="s">
        <v>1691</v>
      </c>
      <c r="E343" s="447" t="s">
        <v>1078</v>
      </c>
      <c r="F343" s="453">
        <v>0</v>
      </c>
      <c r="G343" s="453">
        <v>0</v>
      </c>
    </row>
    <row r="344" spans="3:7" ht="22.05" customHeight="1" x14ac:dyDescent="0.2">
      <c r="C344" s="446" t="e">
        <f>VLOOKUP($A344,Table22[],3,FALSE)</f>
        <v>#N/A</v>
      </c>
      <c r="D344" s="456" t="s">
        <v>1691</v>
      </c>
      <c r="E344" s="447" t="s">
        <v>1079</v>
      </c>
      <c r="F344" s="453">
        <v>0</v>
      </c>
      <c r="G344" s="453">
        <v>0</v>
      </c>
    </row>
    <row r="345" spans="3:7" ht="22.05" customHeight="1" x14ac:dyDescent="0.2">
      <c r="C345" s="446" t="e">
        <f>VLOOKUP($A345,Table22[],3,FALSE)</f>
        <v>#N/A</v>
      </c>
      <c r="D345" s="456" t="s">
        <v>1691</v>
      </c>
      <c r="E345" s="447" t="s">
        <v>1080</v>
      </c>
      <c r="F345" s="453">
        <v>0</v>
      </c>
      <c r="G345" s="453">
        <v>0</v>
      </c>
    </row>
    <row r="346" spans="3:7" ht="22.05" customHeight="1" x14ac:dyDescent="0.2">
      <c r="C346" s="446" t="e">
        <f>VLOOKUP($A346,Table22[],3,FALSE)</f>
        <v>#N/A</v>
      </c>
      <c r="D346" s="456" t="s">
        <v>1691</v>
      </c>
      <c r="E346" s="447" t="s">
        <v>1081</v>
      </c>
      <c r="F346" s="453">
        <v>0</v>
      </c>
      <c r="G346" s="453">
        <v>0</v>
      </c>
    </row>
    <row r="347" spans="3:7" ht="22.05" customHeight="1" x14ac:dyDescent="0.2">
      <c r="C347" s="446" t="e">
        <f>VLOOKUP($A347,Table22[],3,FALSE)</f>
        <v>#N/A</v>
      </c>
      <c r="D347" s="456" t="s">
        <v>1691</v>
      </c>
      <c r="E347" s="447" t="s">
        <v>1083</v>
      </c>
      <c r="F347" s="453">
        <v>0</v>
      </c>
      <c r="G347" s="453">
        <v>0</v>
      </c>
    </row>
    <row r="348" spans="3:7" ht="22.05" customHeight="1" x14ac:dyDescent="0.2">
      <c r="C348" s="446" t="e">
        <f>VLOOKUP($A348,Table22[],3,FALSE)</f>
        <v>#N/A</v>
      </c>
      <c r="D348" s="456" t="s">
        <v>1691</v>
      </c>
      <c r="E348" s="447" t="s">
        <v>1084</v>
      </c>
      <c r="F348" s="453">
        <v>0</v>
      </c>
      <c r="G348" s="453">
        <v>0</v>
      </c>
    </row>
    <row r="349" spans="3:7" ht="22.05" customHeight="1" x14ac:dyDescent="0.2">
      <c r="C349" s="446" t="e">
        <f>VLOOKUP($A349,Table22[],3,FALSE)</f>
        <v>#N/A</v>
      </c>
      <c r="D349" s="456" t="s">
        <v>1691</v>
      </c>
      <c r="E349" s="447" t="s">
        <v>1085</v>
      </c>
      <c r="F349" s="453">
        <v>0</v>
      </c>
      <c r="G349" s="453">
        <v>0</v>
      </c>
    </row>
    <row r="350" spans="3:7" ht="22.05" customHeight="1" x14ac:dyDescent="0.2">
      <c r="C350" s="446" t="e">
        <f>VLOOKUP($A350,Table22[],3,FALSE)</f>
        <v>#N/A</v>
      </c>
      <c r="D350" s="456" t="s">
        <v>1691</v>
      </c>
      <c r="E350" s="447" t="s">
        <v>1086</v>
      </c>
      <c r="F350" s="453">
        <v>0</v>
      </c>
      <c r="G350" s="453">
        <v>0</v>
      </c>
    </row>
    <row r="351" spans="3:7" ht="22.05" customHeight="1" x14ac:dyDescent="0.2">
      <c r="C351" s="446" t="e">
        <f>VLOOKUP($A351,Table22[],3,FALSE)</f>
        <v>#N/A</v>
      </c>
      <c r="D351" s="456" t="s">
        <v>1691</v>
      </c>
      <c r="E351" s="447" t="s">
        <v>1087</v>
      </c>
      <c r="F351" s="453">
        <v>0</v>
      </c>
      <c r="G351" s="453">
        <v>0</v>
      </c>
    </row>
    <row r="352" spans="3:7" ht="22.05" customHeight="1" x14ac:dyDescent="0.2">
      <c r="C352" s="446" t="e">
        <f>VLOOKUP($A352,Table22[],3,FALSE)</f>
        <v>#N/A</v>
      </c>
      <c r="D352" s="456" t="s">
        <v>1691</v>
      </c>
      <c r="E352" s="447" t="s">
        <v>357</v>
      </c>
      <c r="F352" s="453">
        <v>0</v>
      </c>
      <c r="G352" s="453">
        <v>0</v>
      </c>
    </row>
    <row r="353" spans="3:7" ht="22.05" customHeight="1" x14ac:dyDescent="0.2">
      <c r="C353" s="446" t="e">
        <f>VLOOKUP($A353,Table22[],3,FALSE)</f>
        <v>#N/A</v>
      </c>
      <c r="D353" s="456" t="s">
        <v>1691</v>
      </c>
      <c r="E353" s="447" t="s">
        <v>358</v>
      </c>
      <c r="F353" s="453">
        <v>0</v>
      </c>
      <c r="G353" s="453">
        <v>0</v>
      </c>
    </row>
    <row r="354" spans="3:7" ht="22.05" customHeight="1" x14ac:dyDescent="0.2">
      <c r="C354" s="446" t="e">
        <f>VLOOKUP($A354,Table22[],3,FALSE)</f>
        <v>#N/A</v>
      </c>
      <c r="D354" s="456" t="s">
        <v>1691</v>
      </c>
      <c r="E354" s="447" t="s">
        <v>1088</v>
      </c>
      <c r="F354" s="453">
        <v>0</v>
      </c>
      <c r="G354" s="453">
        <v>0</v>
      </c>
    </row>
    <row r="355" spans="3:7" ht="22.05" customHeight="1" x14ac:dyDescent="0.2">
      <c r="C355" s="446" t="e">
        <f>VLOOKUP($A355,Table22[],3,FALSE)</f>
        <v>#N/A</v>
      </c>
      <c r="D355" s="456" t="s">
        <v>1691</v>
      </c>
      <c r="E355" s="447" t="s">
        <v>1089</v>
      </c>
      <c r="F355" s="453">
        <v>0</v>
      </c>
      <c r="G355" s="453">
        <v>0</v>
      </c>
    </row>
    <row r="356" spans="3:7" ht="22.05" customHeight="1" x14ac:dyDescent="0.2">
      <c r="C356" s="446" t="e">
        <f>VLOOKUP($A356,Table22[],3,FALSE)</f>
        <v>#N/A</v>
      </c>
      <c r="D356" s="456" t="s">
        <v>1691</v>
      </c>
      <c r="E356" s="447" t="s">
        <v>1090</v>
      </c>
      <c r="F356" s="453">
        <v>0</v>
      </c>
      <c r="G356" s="453">
        <v>0</v>
      </c>
    </row>
    <row r="357" spans="3:7" ht="22.05" customHeight="1" x14ac:dyDescent="0.2">
      <c r="C357" s="446" t="e">
        <f>VLOOKUP($A357,Table22[],3,FALSE)</f>
        <v>#N/A</v>
      </c>
      <c r="D357" s="456" t="s">
        <v>1691</v>
      </c>
      <c r="E357" s="447" t="s">
        <v>1091</v>
      </c>
      <c r="F357" s="453">
        <v>0</v>
      </c>
      <c r="G357" s="453">
        <v>0</v>
      </c>
    </row>
    <row r="358" spans="3:7" ht="22.05" customHeight="1" x14ac:dyDescent="0.2">
      <c r="C358" s="446" t="e">
        <f>VLOOKUP($A358,Table22[],3,FALSE)</f>
        <v>#N/A</v>
      </c>
      <c r="D358" s="456" t="s">
        <v>1691</v>
      </c>
      <c r="E358" s="447" t="s">
        <v>1092</v>
      </c>
      <c r="F358" s="453">
        <v>0</v>
      </c>
      <c r="G358" s="453">
        <v>0</v>
      </c>
    </row>
    <row r="359" spans="3:7" ht="22.05" customHeight="1" x14ac:dyDescent="0.2">
      <c r="C359" s="446" t="e">
        <f>VLOOKUP($A359,Table22[],3,FALSE)</f>
        <v>#N/A</v>
      </c>
      <c r="D359" s="456" t="s">
        <v>1691</v>
      </c>
      <c r="E359" s="447" t="s">
        <v>1093</v>
      </c>
      <c r="F359" s="453">
        <v>0</v>
      </c>
      <c r="G359" s="453">
        <v>0</v>
      </c>
    </row>
    <row r="360" spans="3:7" ht="22.05" customHeight="1" x14ac:dyDescent="0.2">
      <c r="C360" s="446" t="e">
        <f>VLOOKUP($A360,Table22[],3,FALSE)</f>
        <v>#N/A</v>
      </c>
      <c r="D360" s="456" t="s">
        <v>1691</v>
      </c>
      <c r="E360" s="447" t="s">
        <v>363</v>
      </c>
      <c r="F360" s="453">
        <v>0</v>
      </c>
      <c r="G360" s="453">
        <v>0</v>
      </c>
    </row>
    <row r="361" spans="3:7" ht="22.05" customHeight="1" x14ac:dyDescent="0.2">
      <c r="C361" s="446" t="e">
        <f>VLOOKUP($A361,Table22[],3,FALSE)</f>
        <v>#N/A</v>
      </c>
      <c r="D361" s="456" t="s">
        <v>1691</v>
      </c>
      <c r="E361" s="447" t="s">
        <v>364</v>
      </c>
      <c r="F361" s="453">
        <v>0</v>
      </c>
      <c r="G361" s="453">
        <v>0</v>
      </c>
    </row>
    <row r="362" spans="3:7" ht="22.05" customHeight="1" x14ac:dyDescent="0.2">
      <c r="C362" s="446" t="e">
        <f>VLOOKUP($A362,Table22[],3,FALSE)</f>
        <v>#N/A</v>
      </c>
      <c r="D362" s="456" t="s">
        <v>1691</v>
      </c>
      <c r="E362" s="447" t="s">
        <v>365</v>
      </c>
      <c r="F362" s="453">
        <v>0</v>
      </c>
      <c r="G362" s="453">
        <v>0</v>
      </c>
    </row>
    <row r="363" spans="3:7" ht="22.05" customHeight="1" x14ac:dyDescent="0.2">
      <c r="C363" s="446" t="e">
        <f>VLOOKUP($A363,Table22[],3,FALSE)</f>
        <v>#N/A</v>
      </c>
      <c r="D363" s="456" t="s">
        <v>1691</v>
      </c>
      <c r="E363" s="447" t="s">
        <v>367</v>
      </c>
      <c r="F363" s="453">
        <v>0</v>
      </c>
      <c r="G363" s="453">
        <v>0</v>
      </c>
    </row>
    <row r="364" spans="3:7" ht="22.05" customHeight="1" x14ac:dyDescent="0.2">
      <c r="C364" s="446" t="e">
        <f>VLOOKUP($A364,Table22[],3,FALSE)</f>
        <v>#N/A</v>
      </c>
      <c r="D364" s="456" t="s">
        <v>1691</v>
      </c>
      <c r="E364" s="447" t="s">
        <v>378</v>
      </c>
      <c r="F364" s="453">
        <v>0</v>
      </c>
      <c r="G364" s="453">
        <v>0</v>
      </c>
    </row>
    <row r="365" spans="3:7" ht="22.05" customHeight="1" x14ac:dyDescent="0.2">
      <c r="C365" s="446" t="e">
        <f>VLOOKUP($A365,Table22[],3,FALSE)</f>
        <v>#N/A</v>
      </c>
      <c r="D365" s="456" t="s">
        <v>1691</v>
      </c>
      <c r="E365" s="447" t="s">
        <v>91</v>
      </c>
      <c r="F365" s="453">
        <v>0</v>
      </c>
      <c r="G365" s="453">
        <v>0</v>
      </c>
    </row>
    <row r="366" spans="3:7" ht="22.05" customHeight="1" x14ac:dyDescent="0.2">
      <c r="C366" s="446" t="e">
        <f>VLOOKUP($A366,Table22[],3,FALSE)</f>
        <v>#N/A</v>
      </c>
      <c r="D366" s="457" t="s">
        <v>1691</v>
      </c>
      <c r="E366" s="447" t="s">
        <v>96</v>
      </c>
      <c r="F366" s="453">
        <v>0</v>
      </c>
      <c r="G366" s="453">
        <v>0</v>
      </c>
    </row>
    <row r="367" spans="3:7" ht="22.05" customHeight="1" x14ac:dyDescent="0.2">
      <c r="C367" s="446" t="e">
        <f>VLOOKUP($A367,Table22[],3,FALSE)</f>
        <v>#N/A</v>
      </c>
      <c r="D367" s="457" t="s">
        <v>1691</v>
      </c>
      <c r="E367" s="447" t="s">
        <v>1027</v>
      </c>
      <c r="F367" s="453">
        <v>0</v>
      </c>
      <c r="G367" s="453">
        <v>0</v>
      </c>
    </row>
    <row r="368" spans="3:7" ht="22.05" customHeight="1" x14ac:dyDescent="0.2">
      <c r="C368" s="446" t="e">
        <f>VLOOKUP($A368,Table22[],3,FALSE)</f>
        <v>#N/A</v>
      </c>
      <c r="D368" s="457" t="s">
        <v>1691</v>
      </c>
      <c r="E368" s="447" t="s">
        <v>101</v>
      </c>
      <c r="F368" s="453">
        <v>0</v>
      </c>
      <c r="G368" s="453">
        <v>0</v>
      </c>
    </row>
    <row r="369" spans="3:7" ht="22.05" customHeight="1" x14ac:dyDescent="0.2">
      <c r="C369" s="446" t="e">
        <f>VLOOKUP($A369,Table22[],3,FALSE)</f>
        <v>#N/A</v>
      </c>
      <c r="D369" s="457" t="s">
        <v>1691</v>
      </c>
      <c r="E369" s="447" t="s">
        <v>107</v>
      </c>
      <c r="F369" s="453">
        <v>0</v>
      </c>
      <c r="G369" s="453">
        <v>0</v>
      </c>
    </row>
    <row r="370" spans="3:7" ht="22.05" customHeight="1" x14ac:dyDescent="0.2">
      <c r="C370" s="446" t="e">
        <f>VLOOKUP($A370,Table22[],3,FALSE)</f>
        <v>#N/A</v>
      </c>
      <c r="D370" s="457" t="s">
        <v>1691</v>
      </c>
      <c r="E370" s="447" t="s">
        <v>1030</v>
      </c>
      <c r="F370" s="453">
        <v>0</v>
      </c>
      <c r="G370" s="453">
        <v>0</v>
      </c>
    </row>
    <row r="371" spans="3:7" ht="22.05" customHeight="1" x14ac:dyDescent="0.2">
      <c r="C371" s="446" t="e">
        <f>VLOOKUP($A371,Table22[],3,FALSE)</f>
        <v>#N/A</v>
      </c>
      <c r="D371" s="456" t="s">
        <v>1691</v>
      </c>
      <c r="E371" s="447" t="s">
        <v>282</v>
      </c>
      <c r="F371" s="453">
        <v>0</v>
      </c>
      <c r="G371" s="453">
        <v>0</v>
      </c>
    </row>
    <row r="372" spans="3:7" ht="22.05" customHeight="1" x14ac:dyDescent="0.2">
      <c r="C372" s="446" t="e">
        <f>VLOOKUP($A372,Table22[],3,FALSE)</f>
        <v>#N/A</v>
      </c>
      <c r="D372" s="456" t="s">
        <v>1691</v>
      </c>
      <c r="E372" s="447" t="s">
        <v>1061</v>
      </c>
      <c r="F372" s="453">
        <v>0</v>
      </c>
      <c r="G372" s="453">
        <v>0</v>
      </c>
    </row>
    <row r="373" spans="3:7" ht="22.05" customHeight="1" x14ac:dyDescent="0.2">
      <c r="C373" s="446" t="e">
        <f>VLOOKUP($A373,Table22[],3,FALSE)</f>
        <v>#N/A</v>
      </c>
      <c r="D373" s="456" t="s">
        <v>1691</v>
      </c>
      <c r="E373" s="447" t="s">
        <v>1062</v>
      </c>
      <c r="F373" s="453">
        <v>0</v>
      </c>
      <c r="G373" s="453">
        <v>0</v>
      </c>
    </row>
    <row r="374" spans="3:7" ht="22.05" customHeight="1" x14ac:dyDescent="0.2">
      <c r="C374" s="446" t="e">
        <f>VLOOKUP($A374,Table22[],3,FALSE)</f>
        <v>#N/A</v>
      </c>
      <c r="D374" s="456" t="s">
        <v>1691</v>
      </c>
      <c r="E374" s="447" t="s">
        <v>1063</v>
      </c>
      <c r="F374" s="453">
        <v>0</v>
      </c>
      <c r="G374" s="453">
        <v>0</v>
      </c>
    </row>
    <row r="375" spans="3:7" ht="22.05" customHeight="1" x14ac:dyDescent="0.2">
      <c r="C375" s="446" t="e">
        <f>VLOOKUP($A375,Table22[],3,FALSE)</f>
        <v>#N/A</v>
      </c>
      <c r="D375" s="456" t="s">
        <v>1691</v>
      </c>
      <c r="E375" s="447" t="s">
        <v>1067</v>
      </c>
      <c r="F375" s="453">
        <v>0</v>
      </c>
      <c r="G375" s="453">
        <v>0</v>
      </c>
    </row>
    <row r="376" spans="3:7" ht="22.05" customHeight="1" x14ac:dyDescent="0.2">
      <c r="C376" s="446" t="e">
        <f>VLOOKUP($A376,Table22[],3,FALSE)</f>
        <v>#N/A</v>
      </c>
      <c r="D376" s="457" t="s">
        <v>1691</v>
      </c>
      <c r="E376" s="447" t="s">
        <v>43</v>
      </c>
      <c r="F376" s="453">
        <v>0</v>
      </c>
      <c r="G376" s="453">
        <v>0</v>
      </c>
    </row>
    <row r="377" spans="3:7" ht="22.05" customHeight="1" x14ac:dyDescent="0.2">
      <c r="C377" s="446" t="e">
        <f>VLOOKUP($A377,Table22[],3,FALSE)</f>
        <v>#N/A</v>
      </c>
      <c r="D377" s="457" t="s">
        <v>1691</v>
      </c>
      <c r="E377" s="447" t="s">
        <v>45</v>
      </c>
      <c r="F377" s="453">
        <v>0</v>
      </c>
      <c r="G377" s="453">
        <v>0</v>
      </c>
    </row>
    <row r="378" spans="3:7" ht="22.05" customHeight="1" x14ac:dyDescent="0.2">
      <c r="C378" s="446" t="e">
        <f>VLOOKUP($A378,Table22[],3,FALSE)</f>
        <v>#N/A</v>
      </c>
      <c r="D378" s="457" t="s">
        <v>1691</v>
      </c>
      <c r="E378" s="447" t="s">
        <v>49</v>
      </c>
      <c r="F378" s="453">
        <v>0</v>
      </c>
      <c r="G378" s="453">
        <v>0</v>
      </c>
    </row>
    <row r="379" spans="3:7" ht="22.05" customHeight="1" x14ac:dyDescent="0.2">
      <c r="C379" s="446" t="e">
        <f>VLOOKUP($A379,Table22[],3,FALSE)</f>
        <v>#N/A</v>
      </c>
      <c r="D379" s="457" t="s">
        <v>1691</v>
      </c>
      <c r="E379" s="447" t="s">
        <v>62</v>
      </c>
      <c r="F379" s="453">
        <v>0</v>
      </c>
      <c r="G379" s="453">
        <v>0</v>
      </c>
    </row>
    <row r="380" spans="3:7" ht="22.05" customHeight="1" x14ac:dyDescent="0.2">
      <c r="C380" s="446" t="e">
        <f>VLOOKUP($A380,Table22[],3,FALSE)</f>
        <v>#N/A</v>
      </c>
      <c r="D380" s="457" t="s">
        <v>1691</v>
      </c>
      <c r="E380" s="447" t="s">
        <v>64</v>
      </c>
      <c r="F380" s="453">
        <v>0</v>
      </c>
      <c r="G380" s="453">
        <v>0</v>
      </c>
    </row>
    <row r="381" spans="3:7" ht="22.05" customHeight="1" x14ac:dyDescent="0.2">
      <c r="C381" s="446" t="e">
        <f>VLOOKUP($A381,Table22[],3,FALSE)</f>
        <v>#N/A</v>
      </c>
      <c r="D381" s="457" t="s">
        <v>1691</v>
      </c>
      <c r="E381" s="447" t="s">
        <v>67</v>
      </c>
      <c r="F381" s="453">
        <v>0</v>
      </c>
      <c r="G381" s="453">
        <v>0</v>
      </c>
    </row>
    <row r="382" spans="3:7" ht="22.05" customHeight="1" x14ac:dyDescent="0.2">
      <c r="C382" s="446" t="e">
        <f>VLOOKUP($A382,Table22[],3,FALSE)</f>
        <v>#N/A</v>
      </c>
      <c r="D382" s="457" t="s">
        <v>1691</v>
      </c>
      <c r="E382" s="447" t="s">
        <v>1031</v>
      </c>
      <c r="F382" s="453">
        <v>0</v>
      </c>
      <c r="G382" s="453">
        <v>0</v>
      </c>
    </row>
    <row r="383" spans="3:7" ht="22.05" customHeight="1" x14ac:dyDescent="0.2">
      <c r="C383" s="446" t="e">
        <f>VLOOKUP($A383,Table22[],3,FALSE)</f>
        <v>#N/A</v>
      </c>
      <c r="D383" s="457" t="s">
        <v>1691</v>
      </c>
      <c r="E383" s="447" t="s">
        <v>1034</v>
      </c>
      <c r="F383" s="453">
        <v>0</v>
      </c>
      <c r="G383" s="453">
        <v>0</v>
      </c>
    </row>
    <row r="384" spans="3:7" ht="22.05" customHeight="1" x14ac:dyDescent="0.2">
      <c r="C384" s="446" t="e">
        <f>VLOOKUP($A384,Table22[],3,FALSE)</f>
        <v>#N/A</v>
      </c>
      <c r="D384" s="457" t="s">
        <v>1691</v>
      </c>
      <c r="E384" s="447" t="s">
        <v>1035</v>
      </c>
      <c r="F384" s="453">
        <v>0</v>
      </c>
      <c r="G384" s="453">
        <v>0</v>
      </c>
    </row>
    <row r="385" spans="3:7" ht="22.05" customHeight="1" x14ac:dyDescent="0.2">
      <c r="C385" s="446" t="e">
        <f>VLOOKUP($A385,Table22[],3,FALSE)</f>
        <v>#N/A</v>
      </c>
      <c r="D385" s="457" t="s">
        <v>1691</v>
      </c>
      <c r="E385" s="447" t="s">
        <v>1036</v>
      </c>
      <c r="F385" s="453">
        <v>0</v>
      </c>
      <c r="G385" s="453">
        <v>0</v>
      </c>
    </row>
    <row r="386" spans="3:7" ht="22.05" customHeight="1" x14ac:dyDescent="0.2">
      <c r="C386" s="446" t="e">
        <f>VLOOKUP($A386,Table22[],3,FALSE)</f>
        <v>#N/A</v>
      </c>
      <c r="D386" s="457" t="s">
        <v>1691</v>
      </c>
      <c r="E386" s="447" t="s">
        <v>1038</v>
      </c>
      <c r="F386" s="453">
        <v>0</v>
      </c>
      <c r="G386" s="453">
        <v>0</v>
      </c>
    </row>
    <row r="387" spans="3:7" ht="22.05" customHeight="1" x14ac:dyDescent="0.2">
      <c r="C387" s="446" t="e">
        <f>VLOOKUP($A387,Table22[],3,FALSE)</f>
        <v>#N/A</v>
      </c>
      <c r="D387" s="457" t="s">
        <v>1691</v>
      </c>
      <c r="E387" s="447" t="s">
        <v>78</v>
      </c>
      <c r="F387" s="453">
        <v>0</v>
      </c>
      <c r="G387" s="453">
        <v>0</v>
      </c>
    </row>
    <row r="388" spans="3:7" ht="22.05" customHeight="1" x14ac:dyDescent="0.2">
      <c r="C388" s="446" t="e">
        <f>VLOOKUP($A388,Table22[],3,FALSE)</f>
        <v>#N/A</v>
      </c>
      <c r="D388" s="457" t="s">
        <v>1691</v>
      </c>
      <c r="E388" s="447" t="s">
        <v>81</v>
      </c>
      <c r="F388" s="453">
        <v>0</v>
      </c>
      <c r="G388" s="453">
        <v>0</v>
      </c>
    </row>
    <row r="389" spans="3:7" ht="22.05" customHeight="1" x14ac:dyDescent="0.2">
      <c r="C389" s="446" t="e">
        <f>VLOOKUP($A389,Table22[],3,FALSE)</f>
        <v>#N/A</v>
      </c>
      <c r="D389" s="457" t="s">
        <v>1691</v>
      </c>
      <c r="E389" s="447" t="s">
        <v>83</v>
      </c>
      <c r="F389" s="453">
        <v>0</v>
      </c>
      <c r="G389" s="453">
        <v>0</v>
      </c>
    </row>
    <row r="390" spans="3:7" ht="22.05" customHeight="1" x14ac:dyDescent="0.2">
      <c r="C390" s="446" t="e">
        <f>VLOOKUP($A390,Table22[],3,FALSE)</f>
        <v>#N/A</v>
      </c>
      <c r="D390" s="457" t="s">
        <v>1691</v>
      </c>
      <c r="E390" s="447" t="s">
        <v>87</v>
      </c>
      <c r="F390" s="453">
        <v>0</v>
      </c>
      <c r="G390" s="453">
        <v>0</v>
      </c>
    </row>
    <row r="391" spans="3:7" ht="22.05" customHeight="1" x14ac:dyDescent="0.2">
      <c r="C391" s="446" t="e">
        <f>VLOOKUP($A391,Table22[],3,FALSE)</f>
        <v>#N/A</v>
      </c>
      <c r="D391" s="457" t="s">
        <v>1691</v>
      </c>
      <c r="E391" s="447" t="s">
        <v>1041</v>
      </c>
      <c r="F391" s="453">
        <v>0</v>
      </c>
      <c r="G391" s="453">
        <v>0</v>
      </c>
    </row>
    <row r="392" spans="3:7" ht="22.05" customHeight="1" x14ac:dyDescent="0.2">
      <c r="C392" s="446" t="e">
        <f>VLOOKUP($A392,Table22[],3,FALSE)</f>
        <v>#N/A</v>
      </c>
      <c r="D392" s="457" t="s">
        <v>1691</v>
      </c>
      <c r="E392" s="447" t="s">
        <v>1042</v>
      </c>
      <c r="F392" s="453">
        <v>0</v>
      </c>
      <c r="G392" s="453">
        <v>0</v>
      </c>
    </row>
    <row r="393" spans="3:7" ht="22.05" customHeight="1" x14ac:dyDescent="0.2">
      <c r="C393" s="446" t="e">
        <f>VLOOKUP($A393,Table22[],3,FALSE)</f>
        <v>#N/A</v>
      </c>
      <c r="D393" s="457" t="s">
        <v>1691</v>
      </c>
      <c r="E393" s="447" t="s">
        <v>1043</v>
      </c>
      <c r="F393" s="453">
        <v>0</v>
      </c>
      <c r="G393" s="453">
        <v>0</v>
      </c>
    </row>
    <row r="394" spans="3:7" ht="22.05" customHeight="1" x14ac:dyDescent="0.2">
      <c r="C394" s="446" t="e">
        <f>VLOOKUP($A394,Table22[],3,FALSE)</f>
        <v>#N/A</v>
      </c>
      <c r="D394" s="456" t="s">
        <v>1691</v>
      </c>
      <c r="E394" s="447" t="s">
        <v>223</v>
      </c>
      <c r="F394" s="453">
        <v>0</v>
      </c>
      <c r="G394" s="453">
        <v>0</v>
      </c>
    </row>
    <row r="395" spans="3:7" ht="22.05" customHeight="1" x14ac:dyDescent="0.2">
      <c r="C395" s="446" t="e">
        <f>VLOOKUP($A395,Table22[],3,FALSE)</f>
        <v>#N/A</v>
      </c>
      <c r="D395" s="457" t="s">
        <v>1691</v>
      </c>
      <c r="E395" s="447" t="s">
        <v>1123</v>
      </c>
      <c r="F395" s="453">
        <v>0</v>
      </c>
      <c r="G395" s="453">
        <v>0</v>
      </c>
    </row>
    <row r="396" spans="3:7" ht="22.05" customHeight="1" x14ac:dyDescent="0.2">
      <c r="C396" s="446" t="e">
        <f>VLOOKUP($A396,Table22[],3,FALSE)</f>
        <v>#N/A</v>
      </c>
      <c r="D396" s="457" t="s">
        <v>1691</v>
      </c>
      <c r="E396" s="447" t="s">
        <v>1126</v>
      </c>
      <c r="F396" s="453">
        <v>0</v>
      </c>
      <c r="G396" s="453">
        <v>0</v>
      </c>
    </row>
    <row r="397" spans="3:7" ht="22.05" customHeight="1" x14ac:dyDescent="0.2">
      <c r="C397" s="446" t="e">
        <f>VLOOKUP($A397,Table22[],3,FALSE)</f>
        <v>#N/A</v>
      </c>
      <c r="D397" s="457" t="s">
        <v>1691</v>
      </c>
      <c r="E397" s="447" t="s">
        <v>1129</v>
      </c>
      <c r="F397" s="453">
        <v>0</v>
      </c>
      <c r="G397" s="453">
        <v>0</v>
      </c>
    </row>
    <row r="398" spans="3:7" ht="22.05" customHeight="1" x14ac:dyDescent="0.2">
      <c r="C398" s="446" t="e">
        <f>VLOOKUP($A398,Table22[],3,FALSE)</f>
        <v>#N/A</v>
      </c>
      <c r="D398" s="457" t="s">
        <v>1691</v>
      </c>
      <c r="E398" s="447" t="s">
        <v>1130</v>
      </c>
      <c r="F398" s="453">
        <v>0</v>
      </c>
      <c r="G398" s="453">
        <v>0</v>
      </c>
    </row>
    <row r="399" spans="3:7" ht="22.05" customHeight="1" thickBot="1" x14ac:dyDescent="0.25">
      <c r="C399" s="446" t="e">
        <f>VLOOKUP($A399,Table22[],3,FALSE)</f>
        <v>#N/A</v>
      </c>
      <c r="D399" s="458" t="s">
        <v>1691</v>
      </c>
      <c r="E399" s="447" t="s">
        <v>331</v>
      </c>
      <c r="F399" s="755">
        <v>0</v>
      </c>
      <c r="G399" s="755">
        <v>0</v>
      </c>
    </row>
  </sheetData>
  <sheetProtection sheet="1" formatCells="0" formatColumns="0" formatRows="0" autoFilter="0"/>
  <mergeCells count="2">
    <mergeCell ref="A1:B1"/>
    <mergeCell ref="D1:E1"/>
  </mergeCells>
  <conditionalFormatting sqref="D3:D399">
    <cfRule type="cellIs" dxfId="13" priority="1" operator="equal">
      <formula>"Poistunut"</formula>
    </cfRule>
    <cfRule type="cellIs" dxfId="12" priority="2" operator="equal">
      <formula>"Muuttunut"</formula>
    </cfRule>
    <cfRule type="cellIs" dxfId="11" priority="3" operator="equal">
      <formula>"Vastaava"</formula>
    </cfRule>
  </conditionalFormatting>
  <pageMargins left="0.7" right="0.7" top="0.75" bottom="0.75" header="0.3" footer="0.3"/>
  <pageSetup paperSize="9" scale="65" fitToHeight="0" orientation="portrait" r:id="rId1"/>
  <drawing r:id="rId2"/>
  <tableParts count="1">
    <tablePart r:id="rId3"/>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tabColor theme="5"/>
  </sheetPr>
  <dimension ref="A1:D630"/>
  <sheetViews>
    <sheetView zoomScaleNormal="100" workbookViewId="0">
      <pane ySplit="1" topLeftCell="A252" activePane="bottomLeft" state="frozen"/>
      <selection pane="bottomLeft" activeCell="D266" sqref="D266"/>
    </sheetView>
  </sheetViews>
  <sheetFormatPr defaultColWidth="9.1796875" defaultRowHeight="11.4" x14ac:dyDescent="0.2"/>
  <cols>
    <col min="1" max="1" width="14.453125" style="971" customWidth="1"/>
    <col min="2" max="3" width="50.6328125" style="971" customWidth="1"/>
    <col min="4" max="4" width="52.08984375" style="973" customWidth="1"/>
    <col min="5" max="16384" width="9.1796875" style="971"/>
  </cols>
  <sheetData>
    <row r="1" spans="1:4" x14ac:dyDescent="0.25">
      <c r="A1" s="958" t="s">
        <v>446</v>
      </c>
      <c r="B1" s="959" t="s">
        <v>669</v>
      </c>
      <c r="C1" s="959" t="s">
        <v>668</v>
      </c>
      <c r="D1" s="959" t="s">
        <v>670</v>
      </c>
    </row>
    <row r="2" spans="1:4" s="970" customFormat="1" x14ac:dyDescent="0.25">
      <c r="A2" s="960" t="s">
        <v>61</v>
      </c>
      <c r="B2" s="961" t="s">
        <v>1235</v>
      </c>
      <c r="C2" s="961" t="s">
        <v>1758</v>
      </c>
      <c r="D2" s="962" t="s">
        <v>2432</v>
      </c>
    </row>
    <row r="3" spans="1:4" ht="148.19999999999999" x14ac:dyDescent="0.25">
      <c r="A3" s="963" t="s">
        <v>495</v>
      </c>
      <c r="B3" s="964" t="s">
        <v>1450</v>
      </c>
      <c r="C3" s="964" t="s">
        <v>2326</v>
      </c>
      <c r="D3" s="965" t="s">
        <v>2433</v>
      </c>
    </row>
    <row r="4" spans="1:4" s="970" customFormat="1" x14ac:dyDescent="0.25">
      <c r="A4" s="960" t="s">
        <v>63</v>
      </c>
      <c r="B4" s="961" t="s">
        <v>496</v>
      </c>
      <c r="C4" s="961" t="s">
        <v>1492</v>
      </c>
      <c r="D4" s="962" t="s">
        <v>2434</v>
      </c>
    </row>
    <row r="5" spans="1:4" ht="102.6" x14ac:dyDescent="0.25">
      <c r="A5" s="963" t="s">
        <v>497</v>
      </c>
      <c r="B5" s="964" t="s">
        <v>498</v>
      </c>
      <c r="C5" s="964" t="s">
        <v>1480</v>
      </c>
      <c r="D5" s="965" t="s">
        <v>2435</v>
      </c>
    </row>
    <row r="6" spans="1:4" ht="68.400000000000006" x14ac:dyDescent="0.25">
      <c r="A6" s="963" t="s">
        <v>158</v>
      </c>
      <c r="B6" s="964" t="s">
        <v>1236</v>
      </c>
      <c r="C6" s="964" t="s">
        <v>2208</v>
      </c>
      <c r="D6" s="965" t="s">
        <v>2436</v>
      </c>
    </row>
    <row r="7" spans="1:4" ht="34.200000000000003" x14ac:dyDescent="0.25">
      <c r="A7" s="963" t="s">
        <v>160</v>
      </c>
      <c r="B7" s="964" t="s">
        <v>1237</v>
      </c>
      <c r="C7" s="964" t="s">
        <v>2209</v>
      </c>
      <c r="D7" s="965" t="s">
        <v>2437</v>
      </c>
    </row>
    <row r="8" spans="1:4" ht="22.8" x14ac:dyDescent="0.25">
      <c r="A8" s="963" t="s">
        <v>161</v>
      </c>
      <c r="B8" s="964" t="s">
        <v>499</v>
      </c>
      <c r="C8" s="964" t="s">
        <v>2210</v>
      </c>
      <c r="D8" s="965" t="s">
        <v>2438</v>
      </c>
    </row>
    <row r="9" spans="1:4" ht="45.6" x14ac:dyDescent="0.25">
      <c r="A9" s="963" t="s">
        <v>162</v>
      </c>
      <c r="B9" s="964" t="s">
        <v>1238</v>
      </c>
      <c r="C9" s="964" t="s">
        <v>1558</v>
      </c>
      <c r="D9" s="965" t="s">
        <v>2439</v>
      </c>
    </row>
    <row r="10" spans="1:4" ht="22.8" x14ac:dyDescent="0.25">
      <c r="A10" s="963" t="s">
        <v>163</v>
      </c>
      <c r="B10" s="964" t="s">
        <v>500</v>
      </c>
      <c r="C10" s="964" t="s">
        <v>1559</v>
      </c>
      <c r="D10" s="965" t="s">
        <v>2440</v>
      </c>
    </row>
    <row r="11" spans="1:4" ht="45.6" x14ac:dyDescent="0.25">
      <c r="A11" s="963" t="s">
        <v>164</v>
      </c>
      <c r="B11" s="964" t="s">
        <v>1239</v>
      </c>
      <c r="C11" s="964" t="s">
        <v>1560</v>
      </c>
      <c r="D11" s="965" t="s">
        <v>2441</v>
      </c>
    </row>
    <row r="12" spans="1:4" s="970" customFormat="1" x14ac:dyDescent="0.25">
      <c r="A12" s="960" t="s">
        <v>65</v>
      </c>
      <c r="B12" s="961" t="s">
        <v>1426</v>
      </c>
      <c r="C12" s="961" t="s">
        <v>2211</v>
      </c>
      <c r="D12" s="962" t="s">
        <v>2442</v>
      </c>
    </row>
    <row r="13" spans="1:4" ht="159.6" x14ac:dyDescent="0.25">
      <c r="A13" s="963" t="s">
        <v>501</v>
      </c>
      <c r="B13" s="964" t="s">
        <v>1457</v>
      </c>
      <c r="C13" s="964" t="s">
        <v>2299</v>
      </c>
      <c r="D13" s="965" t="s">
        <v>2443</v>
      </c>
    </row>
    <row r="14" spans="1:4" ht="22.8" x14ac:dyDescent="0.25">
      <c r="A14" s="963" t="s">
        <v>166</v>
      </c>
      <c r="B14" s="964" t="s">
        <v>1240</v>
      </c>
      <c r="C14" s="964" t="s">
        <v>2212</v>
      </c>
      <c r="D14" s="965" t="s">
        <v>2444</v>
      </c>
    </row>
    <row r="15" spans="1:4" ht="22.8" x14ac:dyDescent="0.25">
      <c r="A15" s="963" t="s">
        <v>167</v>
      </c>
      <c r="B15" s="964" t="s">
        <v>1241</v>
      </c>
      <c r="C15" s="964" t="s">
        <v>2213</v>
      </c>
      <c r="D15" s="965" t="s">
        <v>2445</v>
      </c>
    </row>
    <row r="16" spans="1:4" ht="45.6" x14ac:dyDescent="0.25">
      <c r="A16" s="963" t="s">
        <v>168</v>
      </c>
      <c r="B16" s="964" t="s">
        <v>1242</v>
      </c>
      <c r="C16" s="964" t="s">
        <v>2327</v>
      </c>
      <c r="D16" s="965" t="s">
        <v>2446</v>
      </c>
    </row>
    <row r="17" spans="1:4" ht="22.8" x14ac:dyDescent="0.25">
      <c r="A17" s="963" t="s">
        <v>169</v>
      </c>
      <c r="B17" s="964" t="s">
        <v>1243</v>
      </c>
      <c r="C17" s="964" t="s">
        <v>1561</v>
      </c>
      <c r="D17" s="965" t="s">
        <v>2447</v>
      </c>
    </row>
    <row r="18" spans="1:4" ht="22.8" x14ac:dyDescent="0.25">
      <c r="A18" s="963" t="s">
        <v>170</v>
      </c>
      <c r="B18" s="964" t="s">
        <v>1244</v>
      </c>
      <c r="C18" s="964" t="s">
        <v>1562</v>
      </c>
      <c r="D18" s="965" t="s">
        <v>2448</v>
      </c>
    </row>
    <row r="19" spans="1:4" ht="22.8" x14ac:dyDescent="0.25">
      <c r="A19" s="963" t="s">
        <v>171</v>
      </c>
      <c r="B19" s="964" t="s">
        <v>1245</v>
      </c>
      <c r="C19" s="964" t="s">
        <v>1563</v>
      </c>
      <c r="D19" s="965" t="s">
        <v>2449</v>
      </c>
    </row>
    <row r="20" spans="1:4" ht="22.8" x14ac:dyDescent="0.25">
      <c r="A20" s="963" t="s">
        <v>172</v>
      </c>
      <c r="B20" s="964" t="s">
        <v>1246</v>
      </c>
      <c r="C20" s="964" t="s">
        <v>1564</v>
      </c>
      <c r="D20" s="965" t="s">
        <v>2450</v>
      </c>
    </row>
    <row r="21" spans="1:4" ht="45.6" x14ac:dyDescent="0.25">
      <c r="A21" s="963" t="s">
        <v>174</v>
      </c>
      <c r="B21" s="964" t="s">
        <v>1247</v>
      </c>
      <c r="C21" s="964" t="s">
        <v>2328</v>
      </c>
      <c r="D21" s="965" t="s">
        <v>2451</v>
      </c>
    </row>
    <row r="22" spans="1:4" ht="22.8" x14ac:dyDescent="0.25">
      <c r="A22" s="963" t="s">
        <v>1050</v>
      </c>
      <c r="B22" s="964" t="s">
        <v>502</v>
      </c>
      <c r="C22" s="964" t="s">
        <v>1565</v>
      </c>
      <c r="D22" s="965" t="s">
        <v>2452</v>
      </c>
    </row>
    <row r="23" spans="1:4" s="972" customFormat="1" x14ac:dyDescent="0.2">
      <c r="A23" s="960" t="s">
        <v>68</v>
      </c>
      <c r="B23" s="961" t="s">
        <v>1427</v>
      </c>
      <c r="C23" s="961" t="s">
        <v>1493</v>
      </c>
      <c r="D23" s="962" t="s">
        <v>2453</v>
      </c>
    </row>
    <row r="24" spans="1:4" s="973" customFormat="1" ht="159.6" x14ac:dyDescent="0.2">
      <c r="A24" s="963" t="s">
        <v>503</v>
      </c>
      <c r="B24" s="964" t="s">
        <v>1457</v>
      </c>
      <c r="C24" s="964" t="s">
        <v>2329</v>
      </c>
      <c r="D24" s="965" t="s">
        <v>2454</v>
      </c>
    </row>
    <row r="25" spans="1:4" ht="34.200000000000003" x14ac:dyDescent="0.25">
      <c r="A25" s="963" t="s">
        <v>176</v>
      </c>
      <c r="B25" s="964" t="s">
        <v>1248</v>
      </c>
      <c r="C25" s="964" t="s">
        <v>2214</v>
      </c>
      <c r="D25" s="965" t="s">
        <v>2455</v>
      </c>
    </row>
    <row r="26" spans="1:4" s="973" customFormat="1" ht="22.8" x14ac:dyDescent="0.2">
      <c r="A26" s="963" t="s">
        <v>177</v>
      </c>
      <c r="B26" s="964" t="s">
        <v>1249</v>
      </c>
      <c r="C26" s="964" t="s">
        <v>2215</v>
      </c>
      <c r="D26" s="965" t="s">
        <v>2456</v>
      </c>
    </row>
    <row r="27" spans="1:4" ht="22.8" x14ac:dyDescent="0.25">
      <c r="A27" s="963" t="s">
        <v>178</v>
      </c>
      <c r="B27" s="964" t="s">
        <v>1250</v>
      </c>
      <c r="C27" s="964" t="s">
        <v>2216</v>
      </c>
      <c r="D27" s="965" t="s">
        <v>2457</v>
      </c>
    </row>
    <row r="28" spans="1:4" ht="34.200000000000003" x14ac:dyDescent="0.25">
      <c r="A28" s="963" t="s">
        <v>179</v>
      </c>
      <c r="B28" s="964" t="s">
        <v>1251</v>
      </c>
      <c r="C28" s="964" t="s">
        <v>2217</v>
      </c>
      <c r="D28" s="965" t="s">
        <v>2458</v>
      </c>
    </row>
    <row r="29" spans="1:4" ht="22.8" x14ac:dyDescent="0.25">
      <c r="A29" s="963" t="s">
        <v>180</v>
      </c>
      <c r="B29" s="964" t="s">
        <v>1252</v>
      </c>
      <c r="C29" s="964" t="s">
        <v>1566</v>
      </c>
      <c r="D29" s="965" t="s">
        <v>2459</v>
      </c>
    </row>
    <row r="30" spans="1:4" ht="22.8" x14ac:dyDescent="0.25">
      <c r="A30" s="963" t="s">
        <v>181</v>
      </c>
      <c r="B30" s="964" t="s">
        <v>1253</v>
      </c>
      <c r="C30" s="964" t="s">
        <v>1567</v>
      </c>
      <c r="D30" s="965" t="s">
        <v>2460</v>
      </c>
    </row>
    <row r="31" spans="1:4" ht="22.8" x14ac:dyDescent="0.25">
      <c r="A31" s="963" t="s">
        <v>182</v>
      </c>
      <c r="B31" s="964" t="s">
        <v>1254</v>
      </c>
      <c r="C31" s="964" t="s">
        <v>1568</v>
      </c>
      <c r="D31" s="965" t="s">
        <v>2461</v>
      </c>
    </row>
    <row r="32" spans="1:4" x14ac:dyDescent="0.25">
      <c r="A32" s="963" t="s">
        <v>1051</v>
      </c>
      <c r="B32" s="964" t="s">
        <v>1255</v>
      </c>
      <c r="C32" s="964" t="s">
        <v>1569</v>
      </c>
      <c r="D32" s="965" t="s">
        <v>2462</v>
      </c>
    </row>
    <row r="33" spans="1:4" ht="22.8" x14ac:dyDescent="0.25">
      <c r="A33" s="963" t="s">
        <v>1052</v>
      </c>
      <c r="B33" s="964" t="s">
        <v>1256</v>
      </c>
      <c r="C33" s="964" t="s">
        <v>1570</v>
      </c>
      <c r="D33" s="965" t="s">
        <v>2463</v>
      </c>
    </row>
    <row r="34" spans="1:4" s="970" customFormat="1" x14ac:dyDescent="0.25">
      <c r="A34" s="960" t="s">
        <v>1103</v>
      </c>
      <c r="B34" s="961" t="s">
        <v>454</v>
      </c>
      <c r="C34" s="961" t="s">
        <v>790</v>
      </c>
      <c r="D34" s="962" t="s">
        <v>2464</v>
      </c>
    </row>
    <row r="35" spans="1:4" ht="68.400000000000006" x14ac:dyDescent="0.25">
      <c r="A35" s="963" t="s">
        <v>1449</v>
      </c>
      <c r="B35" s="964" t="s">
        <v>456</v>
      </c>
      <c r="C35" s="964" t="s">
        <v>921</v>
      </c>
      <c r="D35" s="965" t="s">
        <v>2465</v>
      </c>
    </row>
    <row r="36" spans="1:4" s="973" customFormat="1" ht="22.8" x14ac:dyDescent="0.2">
      <c r="A36" s="963" t="s">
        <v>1053</v>
      </c>
      <c r="B36" s="964" t="s">
        <v>1257</v>
      </c>
      <c r="C36" s="964" t="s">
        <v>1571</v>
      </c>
      <c r="D36" s="965" t="s">
        <v>2466</v>
      </c>
    </row>
    <row r="37" spans="1:4" ht="22.8" x14ac:dyDescent="0.25">
      <c r="A37" s="963" t="s">
        <v>1054</v>
      </c>
      <c r="B37" s="964" t="s">
        <v>504</v>
      </c>
      <c r="C37" s="964" t="s">
        <v>1572</v>
      </c>
      <c r="D37" s="965" t="s">
        <v>2467</v>
      </c>
    </row>
    <row r="38" spans="1:4" ht="34.200000000000003" x14ac:dyDescent="0.25">
      <c r="A38" s="963" t="s">
        <v>1055</v>
      </c>
      <c r="B38" s="964" t="s">
        <v>1258</v>
      </c>
      <c r="C38" s="964" t="s">
        <v>2330</v>
      </c>
      <c r="D38" s="965" t="s">
        <v>2468</v>
      </c>
    </row>
    <row r="39" spans="1:4" ht="22.8" x14ac:dyDescent="0.25">
      <c r="A39" s="963" t="s">
        <v>1056</v>
      </c>
      <c r="B39" s="964" t="s">
        <v>505</v>
      </c>
      <c r="C39" s="964" t="s">
        <v>1573</v>
      </c>
      <c r="D39" s="965" t="s">
        <v>2469</v>
      </c>
    </row>
    <row r="40" spans="1:4" ht="34.200000000000003" x14ac:dyDescent="0.25">
      <c r="A40" s="963" t="s">
        <v>1057</v>
      </c>
      <c r="B40" s="964" t="s">
        <v>1259</v>
      </c>
      <c r="C40" s="964" t="s">
        <v>1574</v>
      </c>
      <c r="D40" s="965" t="s">
        <v>2470</v>
      </c>
    </row>
    <row r="41" spans="1:4" ht="22.8" x14ac:dyDescent="0.25">
      <c r="A41" s="963" t="s">
        <v>1058</v>
      </c>
      <c r="B41" s="964" t="s">
        <v>1260</v>
      </c>
      <c r="C41" s="964" t="s">
        <v>1575</v>
      </c>
      <c r="D41" s="965" t="s">
        <v>2471</v>
      </c>
    </row>
    <row r="42" spans="1:4" s="970" customFormat="1" x14ac:dyDescent="0.25">
      <c r="A42" s="960" t="s">
        <v>80</v>
      </c>
      <c r="B42" s="961" t="s">
        <v>1359</v>
      </c>
      <c r="C42" s="961" t="s">
        <v>1759</v>
      </c>
      <c r="D42" s="962" t="s">
        <v>2472</v>
      </c>
    </row>
    <row r="43" spans="1:4" ht="114" x14ac:dyDescent="0.2">
      <c r="A43" s="963" t="s">
        <v>543</v>
      </c>
      <c r="B43" s="964" t="s">
        <v>1470</v>
      </c>
      <c r="C43" s="964" t="s">
        <v>2404</v>
      </c>
      <c r="D43" s="966" t="s">
        <v>2473</v>
      </c>
    </row>
    <row r="44" spans="1:4" s="970" customFormat="1" ht="22.8" x14ac:dyDescent="0.25">
      <c r="A44" s="960" t="s">
        <v>121</v>
      </c>
      <c r="B44" s="961" t="s">
        <v>544</v>
      </c>
      <c r="C44" s="961" t="s">
        <v>2377</v>
      </c>
      <c r="D44" s="962" t="s">
        <v>2474</v>
      </c>
    </row>
    <row r="45" spans="1:4" ht="193.8" x14ac:dyDescent="0.25">
      <c r="A45" s="963" t="s">
        <v>545</v>
      </c>
      <c r="B45" s="964" t="s">
        <v>1458</v>
      </c>
      <c r="C45" s="964" t="s">
        <v>2405</v>
      </c>
      <c r="D45" s="965" t="s">
        <v>2475</v>
      </c>
    </row>
    <row r="46" spans="1:4" ht="45.6" x14ac:dyDescent="0.25">
      <c r="A46" s="963" t="s">
        <v>345</v>
      </c>
      <c r="B46" s="964" t="s">
        <v>1360</v>
      </c>
      <c r="C46" s="964" t="s">
        <v>2378</v>
      </c>
      <c r="D46" s="965" t="s">
        <v>2476</v>
      </c>
    </row>
    <row r="47" spans="1:4" ht="57" x14ac:dyDescent="0.25">
      <c r="A47" s="963" t="s">
        <v>346</v>
      </c>
      <c r="B47" s="964" t="s">
        <v>546</v>
      </c>
      <c r="C47" s="964" t="s">
        <v>2379</v>
      </c>
      <c r="D47" s="965" t="s">
        <v>2477</v>
      </c>
    </row>
    <row r="48" spans="1:4" s="973" customFormat="1" ht="45.6" x14ac:dyDescent="0.2">
      <c r="A48" s="963" t="s">
        <v>347</v>
      </c>
      <c r="B48" s="964" t="s">
        <v>547</v>
      </c>
      <c r="C48" s="964" t="s">
        <v>1795</v>
      </c>
      <c r="D48" s="965" t="s">
        <v>2478</v>
      </c>
    </row>
    <row r="49" spans="1:4" ht="45.6" x14ac:dyDescent="0.25">
      <c r="A49" s="963" t="s">
        <v>348</v>
      </c>
      <c r="B49" s="964" t="s">
        <v>1361</v>
      </c>
      <c r="C49" s="964" t="s">
        <v>2380</v>
      </c>
      <c r="D49" s="965" t="s">
        <v>2479</v>
      </c>
    </row>
    <row r="50" spans="1:4" ht="22.8" x14ac:dyDescent="0.25">
      <c r="A50" s="963" t="s">
        <v>349</v>
      </c>
      <c r="B50" s="964" t="s">
        <v>1362</v>
      </c>
      <c r="C50" s="964" t="s">
        <v>1647</v>
      </c>
      <c r="D50" s="965" t="s">
        <v>2480</v>
      </c>
    </row>
    <row r="51" spans="1:4" ht="22.8" x14ac:dyDescent="0.25">
      <c r="A51" s="963" t="s">
        <v>350</v>
      </c>
      <c r="B51" s="964" t="s">
        <v>1363</v>
      </c>
      <c r="C51" s="964" t="s">
        <v>1648</v>
      </c>
      <c r="D51" s="965" t="s">
        <v>2481</v>
      </c>
    </row>
    <row r="52" spans="1:4" ht="45.6" x14ac:dyDescent="0.25">
      <c r="A52" s="963" t="s">
        <v>351</v>
      </c>
      <c r="B52" s="964" t="s">
        <v>548</v>
      </c>
      <c r="C52" s="964" t="s">
        <v>2381</v>
      </c>
      <c r="D52" s="965" t="s">
        <v>2482</v>
      </c>
    </row>
    <row r="53" spans="1:4" ht="45.6" x14ac:dyDescent="0.25">
      <c r="A53" s="963" t="s">
        <v>352</v>
      </c>
      <c r="B53" s="964" t="s">
        <v>1364</v>
      </c>
      <c r="C53" s="964" t="s">
        <v>1649</v>
      </c>
      <c r="D53" s="965" t="s">
        <v>2483</v>
      </c>
    </row>
    <row r="54" spans="1:4" ht="34.200000000000003" x14ac:dyDescent="0.25">
      <c r="A54" s="963" t="s">
        <v>353</v>
      </c>
      <c r="B54" s="964" t="s">
        <v>1365</v>
      </c>
      <c r="C54" s="964" t="s">
        <v>2331</v>
      </c>
      <c r="D54" s="965" t="s">
        <v>2484</v>
      </c>
    </row>
    <row r="55" spans="1:4" ht="22.8" x14ac:dyDescent="0.25">
      <c r="A55" s="963" t="s">
        <v>1078</v>
      </c>
      <c r="B55" s="964" t="s">
        <v>1366</v>
      </c>
      <c r="C55" s="964" t="s">
        <v>1650</v>
      </c>
      <c r="D55" s="965" t="s">
        <v>2485</v>
      </c>
    </row>
    <row r="56" spans="1:4" s="970" customFormat="1" ht="22.8" x14ac:dyDescent="0.25">
      <c r="A56" s="960" t="s">
        <v>124</v>
      </c>
      <c r="B56" s="961" t="s">
        <v>1430</v>
      </c>
      <c r="C56" s="961" t="s">
        <v>1504</v>
      </c>
      <c r="D56" s="962" t="s">
        <v>2486</v>
      </c>
    </row>
    <row r="57" spans="1:4" ht="45.6" x14ac:dyDescent="0.25">
      <c r="A57" s="963" t="s">
        <v>549</v>
      </c>
      <c r="B57" s="964" t="s">
        <v>1748</v>
      </c>
      <c r="C57" s="964" t="s">
        <v>791</v>
      </c>
      <c r="D57" s="965" t="s">
        <v>2487</v>
      </c>
    </row>
    <row r="58" spans="1:4" ht="57" x14ac:dyDescent="0.25">
      <c r="A58" s="963" t="s">
        <v>354</v>
      </c>
      <c r="B58" s="964" t="s">
        <v>1367</v>
      </c>
      <c r="C58" s="964" t="s">
        <v>2218</v>
      </c>
      <c r="D58" s="965" t="s">
        <v>2488</v>
      </c>
    </row>
    <row r="59" spans="1:4" ht="45.6" x14ac:dyDescent="0.25">
      <c r="A59" s="963" t="s">
        <v>355</v>
      </c>
      <c r="B59" s="964" t="s">
        <v>1368</v>
      </c>
      <c r="C59" s="964" t="s">
        <v>1651</v>
      </c>
      <c r="D59" s="965" t="s">
        <v>2489</v>
      </c>
    </row>
    <row r="60" spans="1:4" ht="22.8" x14ac:dyDescent="0.25">
      <c r="A60" s="963" t="s">
        <v>356</v>
      </c>
      <c r="B60" s="964" t="s">
        <v>1369</v>
      </c>
      <c r="C60" s="964" t="s">
        <v>1652</v>
      </c>
      <c r="D60" s="965" t="s">
        <v>2490</v>
      </c>
    </row>
    <row r="61" spans="1:4" ht="57" x14ac:dyDescent="0.25">
      <c r="A61" s="963" t="s">
        <v>1079</v>
      </c>
      <c r="B61" s="964" t="s">
        <v>1370</v>
      </c>
      <c r="C61" s="964" t="s">
        <v>2332</v>
      </c>
      <c r="D61" s="965" t="s">
        <v>2491</v>
      </c>
    </row>
    <row r="62" spans="1:4" ht="34.200000000000003" x14ac:dyDescent="0.25">
      <c r="A62" s="963" t="s">
        <v>1080</v>
      </c>
      <c r="B62" s="964" t="s">
        <v>1371</v>
      </c>
      <c r="C62" s="964" t="s">
        <v>1826</v>
      </c>
      <c r="D62" s="965" t="s">
        <v>2492</v>
      </c>
    </row>
    <row r="63" spans="1:4" ht="45.6" x14ac:dyDescent="0.25">
      <c r="A63" s="963" t="s">
        <v>1081</v>
      </c>
      <c r="B63" s="964" t="s">
        <v>1372</v>
      </c>
      <c r="C63" s="964" t="s">
        <v>2333</v>
      </c>
      <c r="D63" s="965" t="s">
        <v>2493</v>
      </c>
    </row>
    <row r="64" spans="1:4" ht="22.8" x14ac:dyDescent="0.25">
      <c r="A64" s="963" t="s">
        <v>1082</v>
      </c>
      <c r="B64" s="964" t="s">
        <v>1373</v>
      </c>
      <c r="C64" s="964" t="s">
        <v>1653</v>
      </c>
      <c r="D64" s="965" t="s">
        <v>2494</v>
      </c>
    </row>
    <row r="65" spans="1:4" ht="34.200000000000003" x14ac:dyDescent="0.25">
      <c r="A65" s="963" t="s">
        <v>1083</v>
      </c>
      <c r="B65" s="964" t="s">
        <v>1374</v>
      </c>
      <c r="C65" s="964" t="s">
        <v>1654</v>
      </c>
      <c r="D65" s="965" t="s">
        <v>2495</v>
      </c>
    </row>
    <row r="66" spans="1:4" ht="45.6" x14ac:dyDescent="0.25">
      <c r="A66" s="963" t="s">
        <v>1084</v>
      </c>
      <c r="B66" s="964" t="s">
        <v>1375</v>
      </c>
      <c r="C66" s="964" t="s">
        <v>1827</v>
      </c>
      <c r="D66" s="965" t="s">
        <v>2496</v>
      </c>
    </row>
    <row r="67" spans="1:4" ht="45.6" x14ac:dyDescent="0.25">
      <c r="A67" s="963" t="s">
        <v>1085</v>
      </c>
      <c r="B67" s="964" t="s">
        <v>1376</v>
      </c>
      <c r="C67" s="964" t="s">
        <v>1655</v>
      </c>
      <c r="D67" s="965" t="s">
        <v>2497</v>
      </c>
    </row>
    <row r="68" spans="1:4" ht="34.200000000000003" x14ac:dyDescent="0.25">
      <c r="A68" s="963" t="s">
        <v>1086</v>
      </c>
      <c r="B68" s="964" t="s">
        <v>1377</v>
      </c>
      <c r="C68" s="964" t="s">
        <v>1828</v>
      </c>
      <c r="D68" s="965" t="s">
        <v>2498</v>
      </c>
    </row>
    <row r="69" spans="1:4" ht="22.8" x14ac:dyDescent="0.25">
      <c r="A69" s="963" t="s">
        <v>1087</v>
      </c>
      <c r="B69" s="964" t="s">
        <v>1378</v>
      </c>
      <c r="C69" s="964" t="s">
        <v>1656</v>
      </c>
      <c r="D69" s="965" t="s">
        <v>2499</v>
      </c>
    </row>
    <row r="70" spans="1:4" s="970" customFormat="1" ht="22.8" x14ac:dyDescent="0.25">
      <c r="A70" s="960" t="s">
        <v>127</v>
      </c>
      <c r="B70" s="961" t="s">
        <v>1434</v>
      </c>
      <c r="C70" s="961" t="s">
        <v>1505</v>
      </c>
      <c r="D70" s="962" t="s">
        <v>2500</v>
      </c>
    </row>
    <row r="71" spans="1:4" ht="79.8" x14ac:dyDescent="0.2">
      <c r="A71" s="963" t="s">
        <v>550</v>
      </c>
      <c r="B71" s="964" t="s">
        <v>1749</v>
      </c>
      <c r="C71" s="964" t="s">
        <v>1750</v>
      </c>
      <c r="D71" s="966" t="s">
        <v>2501</v>
      </c>
    </row>
    <row r="72" spans="1:4" s="973" customFormat="1" ht="34.200000000000003" x14ac:dyDescent="0.2">
      <c r="A72" s="963" t="s">
        <v>357</v>
      </c>
      <c r="B72" s="964" t="s">
        <v>1379</v>
      </c>
      <c r="C72" s="964" t="s">
        <v>2219</v>
      </c>
      <c r="D72" s="965" t="s">
        <v>2502</v>
      </c>
    </row>
    <row r="73" spans="1:4" ht="22.8" x14ac:dyDescent="0.25">
      <c r="A73" s="963" t="s">
        <v>358</v>
      </c>
      <c r="B73" s="964" t="s">
        <v>1380</v>
      </c>
      <c r="C73" s="964" t="s">
        <v>1657</v>
      </c>
      <c r="D73" s="965" t="s">
        <v>2503</v>
      </c>
    </row>
    <row r="74" spans="1:4" ht="34.200000000000003" x14ac:dyDescent="0.25">
      <c r="A74" s="963" t="s">
        <v>359</v>
      </c>
      <c r="B74" s="964" t="s">
        <v>1381</v>
      </c>
      <c r="C74" s="964" t="s">
        <v>1658</v>
      </c>
      <c r="D74" s="965" t="s">
        <v>2504</v>
      </c>
    </row>
    <row r="75" spans="1:4" ht="34.200000000000003" x14ac:dyDescent="0.25">
      <c r="A75" s="963" t="s">
        <v>360</v>
      </c>
      <c r="B75" s="964" t="s">
        <v>1382</v>
      </c>
      <c r="C75" s="964" t="s">
        <v>1659</v>
      </c>
      <c r="D75" s="965" t="s">
        <v>2505</v>
      </c>
    </row>
    <row r="76" spans="1:4" ht="34.200000000000003" x14ac:dyDescent="0.25">
      <c r="A76" s="963" t="s">
        <v>1088</v>
      </c>
      <c r="B76" s="964" t="s">
        <v>1383</v>
      </c>
      <c r="C76" s="964" t="s">
        <v>1660</v>
      </c>
      <c r="D76" s="965" t="s">
        <v>2506</v>
      </c>
    </row>
    <row r="77" spans="1:4" s="973" customFormat="1" ht="45.6" x14ac:dyDescent="0.2">
      <c r="A77" s="963" t="s">
        <v>1089</v>
      </c>
      <c r="B77" s="964" t="s">
        <v>1384</v>
      </c>
      <c r="C77" s="964" t="s">
        <v>1661</v>
      </c>
      <c r="D77" s="965" t="s">
        <v>2507</v>
      </c>
    </row>
    <row r="78" spans="1:4" ht="34.200000000000003" x14ac:dyDescent="0.25">
      <c r="A78" s="963" t="s">
        <v>1090</v>
      </c>
      <c r="B78" s="964" t="s">
        <v>1385</v>
      </c>
      <c r="C78" s="964" t="s">
        <v>1662</v>
      </c>
      <c r="D78" s="965" t="s">
        <v>2508</v>
      </c>
    </row>
    <row r="79" spans="1:4" ht="45.6" x14ac:dyDescent="0.25">
      <c r="A79" s="963" t="s">
        <v>1091</v>
      </c>
      <c r="B79" s="964" t="s">
        <v>1386</v>
      </c>
      <c r="C79" s="964" t="s">
        <v>2334</v>
      </c>
      <c r="D79" s="965" t="s">
        <v>2509</v>
      </c>
    </row>
    <row r="80" spans="1:4" ht="22.8" x14ac:dyDescent="0.25">
      <c r="A80" s="963" t="s">
        <v>1092</v>
      </c>
      <c r="B80" s="964" t="s">
        <v>1387</v>
      </c>
      <c r="C80" s="964" t="s">
        <v>2335</v>
      </c>
      <c r="D80" s="965" t="s">
        <v>2510</v>
      </c>
    </row>
    <row r="81" spans="1:4" ht="22.8" x14ac:dyDescent="0.25">
      <c r="A81" s="963" t="s">
        <v>1093</v>
      </c>
      <c r="B81" s="964" t="s">
        <v>1388</v>
      </c>
      <c r="C81" s="964" t="s">
        <v>1663</v>
      </c>
      <c r="D81" s="965" t="s">
        <v>2511</v>
      </c>
    </row>
    <row r="82" spans="1:4" s="970" customFormat="1" ht="22.8" x14ac:dyDescent="0.25">
      <c r="A82" s="960" t="s">
        <v>130</v>
      </c>
      <c r="B82" s="961" t="s">
        <v>1436</v>
      </c>
      <c r="C82" s="961" t="s">
        <v>787</v>
      </c>
      <c r="D82" s="962" t="s">
        <v>2512</v>
      </c>
    </row>
    <row r="83" spans="1:4" ht="57" x14ac:dyDescent="0.25">
      <c r="A83" s="963" t="s">
        <v>552</v>
      </c>
      <c r="B83" s="964" t="s">
        <v>1751</v>
      </c>
      <c r="C83" s="964" t="s">
        <v>2336</v>
      </c>
      <c r="D83" s="965" t="s">
        <v>2513</v>
      </c>
    </row>
    <row r="84" spans="1:4" ht="45.6" x14ac:dyDescent="0.25">
      <c r="A84" s="963" t="s">
        <v>361</v>
      </c>
      <c r="B84" s="964" t="s">
        <v>1389</v>
      </c>
      <c r="C84" s="964" t="s">
        <v>1664</v>
      </c>
      <c r="D84" s="965" t="s">
        <v>2514</v>
      </c>
    </row>
    <row r="85" spans="1:4" ht="34.200000000000003" x14ac:dyDescent="0.25">
      <c r="A85" s="963" t="s">
        <v>362</v>
      </c>
      <c r="B85" s="964" t="s">
        <v>1390</v>
      </c>
      <c r="C85" s="964" t="s">
        <v>1665</v>
      </c>
      <c r="D85" s="965" t="s">
        <v>2515</v>
      </c>
    </row>
    <row r="86" spans="1:4" ht="22.8" x14ac:dyDescent="0.25">
      <c r="A86" s="963" t="s">
        <v>363</v>
      </c>
      <c r="B86" s="964" t="s">
        <v>1391</v>
      </c>
      <c r="C86" s="964" t="s">
        <v>1666</v>
      </c>
      <c r="D86" s="965" t="s">
        <v>2516</v>
      </c>
    </row>
    <row r="87" spans="1:4" ht="22.8" x14ac:dyDescent="0.25">
      <c r="A87" s="963" t="s">
        <v>364</v>
      </c>
      <c r="B87" s="964" t="s">
        <v>1392</v>
      </c>
      <c r="C87" s="964" t="s">
        <v>1667</v>
      </c>
      <c r="D87" s="965" t="s">
        <v>2517</v>
      </c>
    </row>
    <row r="88" spans="1:4" ht="22.8" x14ac:dyDescent="0.25">
      <c r="A88" s="963" t="s">
        <v>365</v>
      </c>
      <c r="B88" s="964" t="s">
        <v>1393</v>
      </c>
      <c r="C88" s="964" t="s">
        <v>1668</v>
      </c>
      <c r="D88" s="965" t="s">
        <v>2518</v>
      </c>
    </row>
    <row r="89" spans="1:4" ht="34.200000000000003" x14ac:dyDescent="0.25">
      <c r="A89" s="963" t="s">
        <v>366</v>
      </c>
      <c r="B89" s="964" t="s">
        <v>1394</v>
      </c>
      <c r="C89" s="964" t="s">
        <v>1669</v>
      </c>
      <c r="D89" s="965" t="s">
        <v>2519</v>
      </c>
    </row>
    <row r="90" spans="1:4" ht="22.8" x14ac:dyDescent="0.25">
      <c r="A90" s="963" t="s">
        <v>367</v>
      </c>
      <c r="B90" s="964" t="s">
        <v>1395</v>
      </c>
      <c r="C90" s="964" t="s">
        <v>1670</v>
      </c>
      <c r="D90" s="965" t="s">
        <v>2520</v>
      </c>
    </row>
    <row r="91" spans="1:4" ht="57" x14ac:dyDescent="0.25">
      <c r="A91" s="963" t="s">
        <v>368</v>
      </c>
      <c r="B91" s="964" t="s">
        <v>1396</v>
      </c>
      <c r="C91" s="964" t="s">
        <v>2337</v>
      </c>
      <c r="D91" s="965" t="s">
        <v>2521</v>
      </c>
    </row>
    <row r="92" spans="1:4" s="970" customFormat="1" ht="22.8" x14ac:dyDescent="0.25">
      <c r="A92" s="960" t="s">
        <v>133</v>
      </c>
      <c r="B92" s="961" t="s">
        <v>551</v>
      </c>
      <c r="C92" s="961" t="s">
        <v>1506</v>
      </c>
      <c r="D92" s="962" t="s">
        <v>2522</v>
      </c>
    </row>
    <row r="93" spans="1:4" ht="57" x14ac:dyDescent="0.25">
      <c r="A93" s="963" t="s">
        <v>553</v>
      </c>
      <c r="B93" s="964" t="s">
        <v>1752</v>
      </c>
      <c r="C93" s="964" t="s">
        <v>1753</v>
      </c>
      <c r="D93" s="965" t="s">
        <v>2523</v>
      </c>
    </row>
    <row r="94" spans="1:4" ht="22.8" x14ac:dyDescent="0.25">
      <c r="A94" s="963" t="s">
        <v>372</v>
      </c>
      <c r="B94" s="964" t="s">
        <v>1397</v>
      </c>
      <c r="C94" s="964" t="s">
        <v>2220</v>
      </c>
      <c r="D94" s="965" t="s">
        <v>2524</v>
      </c>
    </row>
    <row r="95" spans="1:4" ht="22.8" x14ac:dyDescent="0.25">
      <c r="A95" s="963" t="s">
        <v>373</v>
      </c>
      <c r="B95" s="964" t="s">
        <v>1398</v>
      </c>
      <c r="C95" s="964" t="s">
        <v>2338</v>
      </c>
      <c r="D95" s="965" t="s">
        <v>2525</v>
      </c>
    </row>
    <row r="96" spans="1:4" s="973" customFormat="1" ht="22.8" x14ac:dyDescent="0.2">
      <c r="A96" s="963" t="s">
        <v>374</v>
      </c>
      <c r="B96" s="964" t="s">
        <v>1399</v>
      </c>
      <c r="C96" s="964" t="s">
        <v>1671</v>
      </c>
      <c r="D96" s="965" t="s">
        <v>2526</v>
      </c>
    </row>
    <row r="97" spans="1:4" ht="22.8" x14ac:dyDescent="0.25">
      <c r="A97" s="963" t="s">
        <v>375</v>
      </c>
      <c r="B97" s="964" t="s">
        <v>1400</v>
      </c>
      <c r="C97" s="964" t="s">
        <v>1672</v>
      </c>
      <c r="D97" s="965" t="s">
        <v>2527</v>
      </c>
    </row>
    <row r="98" spans="1:4" ht="34.200000000000003" x14ac:dyDescent="0.25">
      <c r="A98" s="963" t="s">
        <v>376</v>
      </c>
      <c r="B98" s="964" t="s">
        <v>1401</v>
      </c>
      <c r="C98" s="964" t="s">
        <v>1673</v>
      </c>
      <c r="D98" s="965" t="s">
        <v>2528</v>
      </c>
    </row>
    <row r="99" spans="1:4" ht="34.200000000000003" x14ac:dyDescent="0.25">
      <c r="A99" s="963" t="s">
        <v>377</v>
      </c>
      <c r="B99" s="964" t="s">
        <v>1402</v>
      </c>
      <c r="C99" s="964" t="s">
        <v>1674</v>
      </c>
      <c r="D99" s="965" t="s">
        <v>2529</v>
      </c>
    </row>
    <row r="100" spans="1:4" ht="34.200000000000003" x14ac:dyDescent="0.25">
      <c r="A100" s="963" t="s">
        <v>378</v>
      </c>
      <c r="B100" s="964" t="s">
        <v>1403</v>
      </c>
      <c r="C100" s="964" t="s">
        <v>1675</v>
      </c>
      <c r="D100" s="965" t="s">
        <v>2530</v>
      </c>
    </row>
    <row r="101" spans="1:4" ht="22.8" x14ac:dyDescent="0.25">
      <c r="A101" s="963" t="s">
        <v>1094</v>
      </c>
      <c r="B101" s="964" t="s">
        <v>1404</v>
      </c>
      <c r="C101" s="964" t="s">
        <v>1676</v>
      </c>
      <c r="D101" s="965" t="s">
        <v>2531</v>
      </c>
    </row>
    <row r="102" spans="1:4" s="970" customFormat="1" x14ac:dyDescent="0.25">
      <c r="A102" s="960" t="s">
        <v>1114</v>
      </c>
      <c r="B102" s="961" t="s">
        <v>454</v>
      </c>
      <c r="C102" s="961" t="s">
        <v>790</v>
      </c>
      <c r="D102" s="962" t="s">
        <v>2464</v>
      </c>
    </row>
    <row r="103" spans="1:4" ht="68.400000000000006" x14ac:dyDescent="0.25">
      <c r="A103" s="963" t="s">
        <v>1456</v>
      </c>
      <c r="B103" s="964" t="s">
        <v>456</v>
      </c>
      <c r="C103" s="964" t="s">
        <v>921</v>
      </c>
      <c r="D103" s="965" t="s">
        <v>2465</v>
      </c>
    </row>
    <row r="104" spans="1:4" ht="22.8" x14ac:dyDescent="0.25">
      <c r="A104" s="963" t="s">
        <v>1095</v>
      </c>
      <c r="B104" s="964" t="s">
        <v>1405</v>
      </c>
      <c r="C104" s="964" t="s">
        <v>1677</v>
      </c>
      <c r="D104" s="965" t="s">
        <v>2532</v>
      </c>
    </row>
    <row r="105" spans="1:4" ht="22.8" x14ac:dyDescent="0.25">
      <c r="A105" s="963" t="s">
        <v>1096</v>
      </c>
      <c r="B105" s="964" t="s">
        <v>554</v>
      </c>
      <c r="C105" s="964" t="s">
        <v>1678</v>
      </c>
      <c r="D105" s="965" t="s">
        <v>2533</v>
      </c>
    </row>
    <row r="106" spans="1:4" ht="34.200000000000003" x14ac:dyDescent="0.25">
      <c r="A106" s="963" t="s">
        <v>1097</v>
      </c>
      <c r="B106" s="964" t="s">
        <v>1406</v>
      </c>
      <c r="C106" s="964" t="s">
        <v>2339</v>
      </c>
      <c r="D106" s="965" t="s">
        <v>2534</v>
      </c>
    </row>
    <row r="107" spans="1:4" ht="22.8" x14ac:dyDescent="0.25">
      <c r="A107" s="963" t="s">
        <v>1098</v>
      </c>
      <c r="B107" s="964" t="s">
        <v>555</v>
      </c>
      <c r="C107" s="964" t="s">
        <v>1679</v>
      </c>
      <c r="D107" s="965" t="s">
        <v>2535</v>
      </c>
    </row>
    <row r="108" spans="1:4" ht="34.200000000000003" x14ac:dyDescent="0.25">
      <c r="A108" s="963" t="s">
        <v>1099</v>
      </c>
      <c r="B108" s="964" t="s">
        <v>1407</v>
      </c>
      <c r="C108" s="964" t="s">
        <v>1680</v>
      </c>
      <c r="D108" s="965" t="s">
        <v>2536</v>
      </c>
    </row>
    <row r="109" spans="1:4" ht="22.8" x14ac:dyDescent="0.25">
      <c r="A109" s="963" t="s">
        <v>1100</v>
      </c>
      <c r="B109" s="964" t="s">
        <v>1408</v>
      </c>
      <c r="C109" s="964" t="s">
        <v>1681</v>
      </c>
      <c r="D109" s="965" t="s">
        <v>2537</v>
      </c>
    </row>
    <row r="110" spans="1:4" s="970" customFormat="1" x14ac:dyDescent="0.25">
      <c r="A110" s="960" t="s">
        <v>48</v>
      </c>
      <c r="B110" s="961" t="s">
        <v>1147</v>
      </c>
      <c r="C110" s="961" t="s">
        <v>1760</v>
      </c>
      <c r="D110" s="962" t="s">
        <v>2538</v>
      </c>
    </row>
    <row r="111" spans="1:4" ht="79.8" x14ac:dyDescent="0.25">
      <c r="A111" s="963" t="s">
        <v>479</v>
      </c>
      <c r="B111" s="964" t="s">
        <v>1438</v>
      </c>
      <c r="C111" s="964" t="s">
        <v>1796</v>
      </c>
      <c r="D111" s="965" t="s">
        <v>2539</v>
      </c>
    </row>
    <row r="112" spans="1:4" s="970" customFormat="1" x14ac:dyDescent="0.25">
      <c r="A112" s="960" t="s">
        <v>50</v>
      </c>
      <c r="B112" s="961" t="s">
        <v>480</v>
      </c>
      <c r="C112" s="961" t="s">
        <v>1474</v>
      </c>
      <c r="D112" s="962" t="s">
        <v>2540</v>
      </c>
    </row>
    <row r="113" spans="1:4" ht="79.8" x14ac:dyDescent="0.25">
      <c r="A113" s="963" t="s">
        <v>481</v>
      </c>
      <c r="B113" s="964" t="s">
        <v>1439</v>
      </c>
      <c r="C113" s="964" t="s">
        <v>1478</v>
      </c>
      <c r="D113" s="965" t="s">
        <v>2541</v>
      </c>
    </row>
    <row r="114" spans="1:4" ht="45.6" x14ac:dyDescent="0.25">
      <c r="A114" s="963" t="s">
        <v>89</v>
      </c>
      <c r="B114" s="964" t="s">
        <v>482</v>
      </c>
      <c r="C114" s="964" t="s">
        <v>2221</v>
      </c>
      <c r="D114" s="965" t="s">
        <v>2542</v>
      </c>
    </row>
    <row r="115" spans="1:4" ht="34.200000000000003" x14ac:dyDescent="0.25">
      <c r="A115" s="963" t="s">
        <v>91</v>
      </c>
      <c r="B115" s="964" t="s">
        <v>1148</v>
      </c>
      <c r="C115" s="964" t="s">
        <v>2222</v>
      </c>
      <c r="D115" s="965" t="s">
        <v>2543</v>
      </c>
    </row>
    <row r="116" spans="1:4" ht="45.6" x14ac:dyDescent="0.25">
      <c r="A116" s="963" t="s">
        <v>92</v>
      </c>
      <c r="B116" s="964" t="s">
        <v>1149</v>
      </c>
      <c r="C116" s="964" t="s">
        <v>1507</v>
      </c>
      <c r="D116" s="965" t="s">
        <v>2544</v>
      </c>
    </row>
    <row r="117" spans="1:4" ht="34.200000000000003" x14ac:dyDescent="0.25">
      <c r="A117" s="963" t="s">
        <v>94</v>
      </c>
      <c r="B117" s="964" t="s">
        <v>1150</v>
      </c>
      <c r="C117" s="964" t="s">
        <v>1508</v>
      </c>
      <c r="D117" s="965" t="s">
        <v>2545</v>
      </c>
    </row>
    <row r="118" spans="1:4" ht="22.8" x14ac:dyDescent="0.25">
      <c r="A118" s="963" t="s">
        <v>96</v>
      </c>
      <c r="B118" s="964" t="s">
        <v>1151</v>
      </c>
      <c r="C118" s="964" t="s">
        <v>2223</v>
      </c>
      <c r="D118" s="965" t="s">
        <v>2546</v>
      </c>
    </row>
    <row r="119" spans="1:4" ht="22.8" x14ac:dyDescent="0.25">
      <c r="A119" s="963" t="s">
        <v>98</v>
      </c>
      <c r="B119" s="964" t="s">
        <v>1152</v>
      </c>
      <c r="C119" s="964" t="s">
        <v>1509</v>
      </c>
      <c r="D119" s="965" t="s">
        <v>2547</v>
      </c>
    </row>
    <row r="120" spans="1:4" ht="22.8" x14ac:dyDescent="0.25">
      <c r="A120" s="963" t="s">
        <v>1025</v>
      </c>
      <c r="B120" s="964" t="s">
        <v>1153</v>
      </c>
      <c r="C120" s="964" t="s">
        <v>1510</v>
      </c>
      <c r="D120" s="965" t="s">
        <v>2548</v>
      </c>
    </row>
    <row r="121" spans="1:4" ht="57" x14ac:dyDescent="0.25">
      <c r="A121" s="963" t="s">
        <v>1026</v>
      </c>
      <c r="B121" s="964" t="s">
        <v>1154</v>
      </c>
      <c r="C121" s="964" t="s">
        <v>2340</v>
      </c>
      <c r="D121" s="965" t="s">
        <v>2549</v>
      </c>
    </row>
    <row r="122" spans="1:4" ht="34.200000000000003" x14ac:dyDescent="0.25">
      <c r="A122" s="963" t="s">
        <v>1027</v>
      </c>
      <c r="B122" s="964" t="s">
        <v>1155</v>
      </c>
      <c r="C122" s="964" t="s">
        <v>1511</v>
      </c>
      <c r="D122" s="965" t="s">
        <v>2550</v>
      </c>
    </row>
    <row r="123" spans="1:4" s="970" customFormat="1" x14ac:dyDescent="0.25">
      <c r="A123" s="960" t="s">
        <v>52</v>
      </c>
      <c r="B123" s="961" t="s">
        <v>483</v>
      </c>
      <c r="C123" s="961" t="s">
        <v>1486</v>
      </c>
      <c r="D123" s="962" t="s">
        <v>2551</v>
      </c>
    </row>
    <row r="124" spans="1:4" ht="68.400000000000006" x14ac:dyDescent="0.25">
      <c r="A124" s="963" t="s">
        <v>484</v>
      </c>
      <c r="B124" s="964" t="s">
        <v>1439</v>
      </c>
      <c r="C124" s="964" t="s">
        <v>1479</v>
      </c>
      <c r="D124" s="965" t="s">
        <v>2552</v>
      </c>
    </row>
    <row r="125" spans="1:4" ht="57" x14ac:dyDescent="0.25">
      <c r="A125" s="963" t="s">
        <v>100</v>
      </c>
      <c r="B125" s="964" t="s">
        <v>1156</v>
      </c>
      <c r="C125" s="964" t="s">
        <v>2224</v>
      </c>
      <c r="D125" s="965" t="s">
        <v>2553</v>
      </c>
    </row>
    <row r="126" spans="1:4" ht="22.8" x14ac:dyDescent="0.25">
      <c r="A126" s="963" t="s">
        <v>101</v>
      </c>
      <c r="B126" s="964" t="s">
        <v>1157</v>
      </c>
      <c r="C126" s="964" t="s">
        <v>2225</v>
      </c>
      <c r="D126" s="965" t="s">
        <v>2554</v>
      </c>
    </row>
    <row r="127" spans="1:4" ht="45.6" x14ac:dyDescent="0.25">
      <c r="A127" s="963" t="s">
        <v>103</v>
      </c>
      <c r="B127" s="964" t="s">
        <v>1158</v>
      </c>
      <c r="C127" s="964" t="s">
        <v>1512</v>
      </c>
      <c r="D127" s="965" t="s">
        <v>2555</v>
      </c>
    </row>
    <row r="128" spans="1:4" ht="34.200000000000003" x14ac:dyDescent="0.25">
      <c r="A128" s="963" t="s">
        <v>105</v>
      </c>
      <c r="B128" s="964" t="s">
        <v>1159</v>
      </c>
      <c r="C128" s="964" t="s">
        <v>1513</v>
      </c>
      <c r="D128" s="965" t="s">
        <v>2556</v>
      </c>
    </row>
    <row r="129" spans="1:4" ht="22.8" x14ac:dyDescent="0.25">
      <c r="A129" s="963" t="s">
        <v>107</v>
      </c>
      <c r="B129" s="964" t="s">
        <v>1160</v>
      </c>
      <c r="C129" s="964" t="s">
        <v>2226</v>
      </c>
      <c r="D129" s="965" t="s">
        <v>2557</v>
      </c>
    </row>
    <row r="130" spans="1:4" ht="22.8" x14ac:dyDescent="0.25">
      <c r="A130" s="963" t="s">
        <v>108</v>
      </c>
      <c r="B130" s="964" t="s">
        <v>1161</v>
      </c>
      <c r="C130" s="964" t="s">
        <v>1514</v>
      </c>
      <c r="D130" s="965" t="s">
        <v>2558</v>
      </c>
    </row>
    <row r="131" spans="1:4" ht="22.8" x14ac:dyDescent="0.25">
      <c r="A131" s="963" t="s">
        <v>1028</v>
      </c>
      <c r="B131" s="964" t="s">
        <v>1162</v>
      </c>
      <c r="C131" s="964" t="s">
        <v>1510</v>
      </c>
      <c r="D131" s="965" t="s">
        <v>2548</v>
      </c>
    </row>
    <row r="132" spans="1:4" ht="34.200000000000003" x14ac:dyDescent="0.25">
      <c r="A132" s="963" t="s">
        <v>1029</v>
      </c>
      <c r="B132" s="964" t="s">
        <v>1163</v>
      </c>
      <c r="C132" s="964" t="s">
        <v>1515</v>
      </c>
      <c r="D132" s="965" t="s">
        <v>2559</v>
      </c>
    </row>
    <row r="133" spans="1:4" ht="45.6" x14ac:dyDescent="0.25">
      <c r="A133" s="963" t="s">
        <v>1030</v>
      </c>
      <c r="B133" s="964" t="s">
        <v>1164</v>
      </c>
      <c r="C133" s="964" t="s">
        <v>2341</v>
      </c>
      <c r="D133" s="965" t="s">
        <v>2560</v>
      </c>
    </row>
    <row r="134" spans="1:4" s="972" customFormat="1" x14ac:dyDescent="0.2">
      <c r="A134" s="960" t="s">
        <v>54</v>
      </c>
      <c r="B134" s="961" t="s">
        <v>485</v>
      </c>
      <c r="C134" s="961" t="s">
        <v>1475</v>
      </c>
      <c r="D134" s="962" t="s">
        <v>2561</v>
      </c>
    </row>
    <row r="135" spans="1:4" s="973" customFormat="1" ht="91.2" x14ac:dyDescent="0.2">
      <c r="A135" s="963" t="s">
        <v>486</v>
      </c>
      <c r="B135" s="964" t="s">
        <v>1440</v>
      </c>
      <c r="C135" s="964" t="s">
        <v>2342</v>
      </c>
      <c r="D135" s="965" t="s">
        <v>2562</v>
      </c>
    </row>
    <row r="136" spans="1:4" ht="34.200000000000003" x14ac:dyDescent="0.25">
      <c r="A136" s="963" t="s">
        <v>111</v>
      </c>
      <c r="B136" s="964" t="s">
        <v>1165</v>
      </c>
      <c r="C136" s="964" t="s">
        <v>2227</v>
      </c>
      <c r="D136" s="965" t="s">
        <v>2563</v>
      </c>
    </row>
    <row r="137" spans="1:4" ht="34.200000000000003" x14ac:dyDescent="0.25">
      <c r="A137" s="963" t="s">
        <v>113</v>
      </c>
      <c r="B137" s="964" t="s">
        <v>1166</v>
      </c>
      <c r="C137" s="964" t="s">
        <v>1516</v>
      </c>
      <c r="D137" s="965" t="s">
        <v>2564</v>
      </c>
    </row>
    <row r="138" spans="1:4" ht="22.8" x14ac:dyDescent="0.25">
      <c r="A138" s="963" t="s">
        <v>115</v>
      </c>
      <c r="B138" s="964" t="s">
        <v>1167</v>
      </c>
      <c r="C138" s="964" t="s">
        <v>1517</v>
      </c>
      <c r="D138" s="965" t="s">
        <v>2565</v>
      </c>
    </row>
    <row r="139" spans="1:4" ht="34.200000000000003" x14ac:dyDescent="0.25">
      <c r="A139" s="963" t="s">
        <v>117</v>
      </c>
      <c r="B139" s="964" t="s">
        <v>1168</v>
      </c>
      <c r="C139" s="964" t="s">
        <v>1518</v>
      </c>
      <c r="D139" s="965" t="s">
        <v>2566</v>
      </c>
    </row>
    <row r="140" spans="1:4" ht="34.200000000000003" x14ac:dyDescent="0.25">
      <c r="A140" s="963" t="s">
        <v>119</v>
      </c>
      <c r="B140" s="964" t="s">
        <v>487</v>
      </c>
      <c r="C140" s="964" t="s">
        <v>1519</v>
      </c>
      <c r="D140" s="965" t="s">
        <v>2567</v>
      </c>
    </row>
    <row r="141" spans="1:4" ht="34.200000000000003" x14ac:dyDescent="0.25">
      <c r="A141" s="963" t="s">
        <v>120</v>
      </c>
      <c r="B141" s="964" t="s">
        <v>1169</v>
      </c>
      <c r="C141" s="964" t="s">
        <v>1520</v>
      </c>
      <c r="D141" s="965" t="s">
        <v>2568</v>
      </c>
    </row>
    <row r="142" spans="1:4" s="970" customFormat="1" x14ac:dyDescent="0.25">
      <c r="A142" s="960" t="s">
        <v>56</v>
      </c>
      <c r="B142" s="961" t="s">
        <v>488</v>
      </c>
      <c r="C142" s="961" t="s">
        <v>1476</v>
      </c>
      <c r="D142" s="962" t="s">
        <v>2569</v>
      </c>
    </row>
    <row r="143" spans="1:4" ht="79.8" x14ac:dyDescent="0.25">
      <c r="A143" s="963" t="s">
        <v>489</v>
      </c>
      <c r="B143" s="964" t="s">
        <v>1441</v>
      </c>
      <c r="C143" s="964" t="s">
        <v>1477</v>
      </c>
      <c r="D143" s="965" t="s">
        <v>2570</v>
      </c>
    </row>
    <row r="144" spans="1:4" ht="45.6" x14ac:dyDescent="0.25">
      <c r="A144" s="963" t="s">
        <v>122</v>
      </c>
      <c r="B144" s="964" t="s">
        <v>1170</v>
      </c>
      <c r="C144" s="964" t="s">
        <v>2228</v>
      </c>
      <c r="D144" s="965" t="s">
        <v>2571</v>
      </c>
    </row>
    <row r="145" spans="1:4" ht="34.200000000000003" x14ac:dyDescent="0.25">
      <c r="A145" s="963" t="s">
        <v>125</v>
      </c>
      <c r="B145" s="964" t="s">
        <v>490</v>
      </c>
      <c r="C145" s="964" t="s">
        <v>2229</v>
      </c>
      <c r="D145" s="965" t="s">
        <v>2572</v>
      </c>
    </row>
    <row r="146" spans="1:4" ht="22.8" x14ac:dyDescent="0.25">
      <c r="A146" s="963" t="s">
        <v>128</v>
      </c>
      <c r="B146" s="964" t="s">
        <v>1171</v>
      </c>
      <c r="C146" s="964" t="s">
        <v>1521</v>
      </c>
      <c r="D146" s="965" t="s">
        <v>2573</v>
      </c>
    </row>
    <row r="147" spans="1:4" ht="34.200000000000003" x14ac:dyDescent="0.25">
      <c r="A147" s="963" t="s">
        <v>131</v>
      </c>
      <c r="B147" s="964" t="s">
        <v>1172</v>
      </c>
      <c r="C147" s="964" t="s">
        <v>1522</v>
      </c>
      <c r="D147" s="965" t="s">
        <v>2574</v>
      </c>
    </row>
    <row r="148" spans="1:4" ht="22.8" x14ac:dyDescent="0.25">
      <c r="A148" s="963" t="s">
        <v>134</v>
      </c>
      <c r="B148" s="964" t="s">
        <v>491</v>
      </c>
      <c r="C148" s="964" t="s">
        <v>1523</v>
      </c>
      <c r="D148" s="965" t="s">
        <v>2575</v>
      </c>
    </row>
    <row r="149" spans="1:4" ht="34.200000000000003" x14ac:dyDescent="0.25">
      <c r="A149" s="963" t="s">
        <v>136</v>
      </c>
      <c r="B149" s="964" t="s">
        <v>1173</v>
      </c>
      <c r="C149" s="964" t="s">
        <v>2343</v>
      </c>
      <c r="D149" s="965" t="s">
        <v>2576</v>
      </c>
    </row>
    <row r="150" spans="1:4" s="970" customFormat="1" x14ac:dyDescent="0.25">
      <c r="A150" s="960" t="s">
        <v>59</v>
      </c>
      <c r="B150" s="961" t="s">
        <v>454</v>
      </c>
      <c r="C150" s="961" t="s">
        <v>790</v>
      </c>
      <c r="D150" s="962" t="s">
        <v>2464</v>
      </c>
    </row>
    <row r="151" spans="1:4" ht="68.400000000000006" x14ac:dyDescent="0.25">
      <c r="A151" s="963" t="s">
        <v>492</v>
      </c>
      <c r="B151" s="964" t="s">
        <v>456</v>
      </c>
      <c r="C151" s="964" t="s">
        <v>921</v>
      </c>
      <c r="D151" s="965" t="s">
        <v>2465</v>
      </c>
    </row>
    <row r="152" spans="1:4" ht="22.8" x14ac:dyDescent="0.25">
      <c r="A152" s="963" t="s">
        <v>139</v>
      </c>
      <c r="B152" s="964" t="s">
        <v>1174</v>
      </c>
      <c r="C152" s="964" t="s">
        <v>1524</v>
      </c>
      <c r="D152" s="965" t="s">
        <v>2577</v>
      </c>
    </row>
    <row r="153" spans="1:4" ht="22.8" x14ac:dyDescent="0.25">
      <c r="A153" s="963" t="s">
        <v>142</v>
      </c>
      <c r="B153" s="964" t="s">
        <v>493</v>
      </c>
      <c r="C153" s="964" t="s">
        <v>1525</v>
      </c>
      <c r="D153" s="965" t="s">
        <v>2578</v>
      </c>
    </row>
    <row r="154" spans="1:4" ht="34.200000000000003" x14ac:dyDescent="0.25">
      <c r="A154" s="963" t="s">
        <v>145</v>
      </c>
      <c r="B154" s="964" t="s">
        <v>1175</v>
      </c>
      <c r="C154" s="964" t="s">
        <v>2344</v>
      </c>
      <c r="D154" s="965" t="s">
        <v>2579</v>
      </c>
    </row>
    <row r="155" spans="1:4" s="973" customFormat="1" ht="22.8" x14ac:dyDescent="0.2">
      <c r="A155" s="963" t="s">
        <v>148</v>
      </c>
      <c r="B155" s="964" t="s">
        <v>494</v>
      </c>
      <c r="C155" s="964" t="s">
        <v>1526</v>
      </c>
      <c r="D155" s="965" t="s">
        <v>2580</v>
      </c>
    </row>
    <row r="156" spans="1:4" ht="34.200000000000003" x14ac:dyDescent="0.25">
      <c r="A156" s="963" t="s">
        <v>150</v>
      </c>
      <c r="B156" s="964" t="s">
        <v>1176</v>
      </c>
      <c r="C156" s="964" t="s">
        <v>1527</v>
      </c>
      <c r="D156" s="965" t="s">
        <v>2581</v>
      </c>
    </row>
    <row r="157" spans="1:4" ht="22.8" x14ac:dyDescent="0.25">
      <c r="A157" s="963" t="s">
        <v>152</v>
      </c>
      <c r="B157" s="964" t="s">
        <v>1177</v>
      </c>
      <c r="C157" s="964" t="s">
        <v>1528</v>
      </c>
      <c r="D157" s="965" t="s">
        <v>2582</v>
      </c>
    </row>
    <row r="158" spans="1:4" s="970" customFormat="1" x14ac:dyDescent="0.25">
      <c r="A158" s="960" t="s">
        <v>57</v>
      </c>
      <c r="B158" s="961" t="s">
        <v>664</v>
      </c>
      <c r="C158" s="961" t="s">
        <v>1761</v>
      </c>
      <c r="D158" s="962" t="s">
        <v>2583</v>
      </c>
    </row>
    <row r="159" spans="1:4" s="970" customFormat="1" ht="22.8" x14ac:dyDescent="0.25">
      <c r="A159" s="963" t="s">
        <v>692</v>
      </c>
      <c r="B159" s="964" t="s">
        <v>827</v>
      </c>
      <c r="C159" s="964" t="s">
        <v>829</v>
      </c>
      <c r="D159" s="965" t="s">
        <v>2584</v>
      </c>
    </row>
    <row r="160" spans="1:4" x14ac:dyDescent="0.25">
      <c r="A160" s="960" t="s">
        <v>154</v>
      </c>
      <c r="B160" s="961" t="s">
        <v>508</v>
      </c>
      <c r="C160" s="961" t="s">
        <v>478</v>
      </c>
      <c r="D160" s="962" t="s">
        <v>2585</v>
      </c>
    </row>
    <row r="161" spans="1:4" ht="45.6" x14ac:dyDescent="0.25">
      <c r="A161" s="963" t="s">
        <v>693</v>
      </c>
      <c r="B161" s="964" t="s">
        <v>828</v>
      </c>
      <c r="C161" s="964" t="s">
        <v>830</v>
      </c>
      <c r="D161" s="965" t="s">
        <v>2586</v>
      </c>
    </row>
    <row r="162" spans="1:4" ht="22.8" x14ac:dyDescent="0.25">
      <c r="A162" s="963" t="s">
        <v>419</v>
      </c>
      <c r="B162" s="964" t="s">
        <v>509</v>
      </c>
      <c r="C162" s="964" t="s">
        <v>665</v>
      </c>
      <c r="D162" s="965" t="s">
        <v>2587</v>
      </c>
    </row>
    <row r="163" spans="1:4" ht="22.8" x14ac:dyDescent="0.25">
      <c r="A163" s="963" t="s">
        <v>420</v>
      </c>
      <c r="B163" s="964" t="s">
        <v>510</v>
      </c>
      <c r="C163" s="964" t="s">
        <v>832</v>
      </c>
      <c r="D163" s="965" t="s">
        <v>2588</v>
      </c>
    </row>
    <row r="164" spans="1:4" ht="22.8" x14ac:dyDescent="0.25">
      <c r="A164" s="963" t="s">
        <v>421</v>
      </c>
      <c r="B164" s="964" t="s">
        <v>511</v>
      </c>
      <c r="C164" s="964" t="s">
        <v>833</v>
      </c>
      <c r="D164" s="965" t="s">
        <v>2589</v>
      </c>
    </row>
    <row r="165" spans="1:4" ht="22.8" x14ac:dyDescent="0.25">
      <c r="A165" s="963" t="s">
        <v>422</v>
      </c>
      <c r="B165" s="964" t="s">
        <v>512</v>
      </c>
      <c r="C165" s="964" t="s">
        <v>834</v>
      </c>
      <c r="D165" s="965" t="s">
        <v>2590</v>
      </c>
    </row>
    <row r="166" spans="1:4" ht="22.8" x14ac:dyDescent="0.25">
      <c r="A166" s="963" t="s">
        <v>423</v>
      </c>
      <c r="B166" s="964" t="s">
        <v>513</v>
      </c>
      <c r="C166" s="964" t="s">
        <v>836</v>
      </c>
      <c r="D166" s="965" t="s">
        <v>2591</v>
      </c>
    </row>
    <row r="167" spans="1:4" s="973" customFormat="1" ht="22.8" x14ac:dyDescent="0.2">
      <c r="A167" s="963" t="s">
        <v>424</v>
      </c>
      <c r="B167" s="964" t="s">
        <v>514</v>
      </c>
      <c r="C167" s="964" t="s">
        <v>835</v>
      </c>
      <c r="D167" s="965" t="s">
        <v>2592</v>
      </c>
    </row>
    <row r="168" spans="1:4" s="970" customFormat="1" ht="45.6" x14ac:dyDescent="0.25">
      <c r="A168" s="963" t="s">
        <v>425</v>
      </c>
      <c r="B168" s="964" t="s">
        <v>515</v>
      </c>
      <c r="C168" s="964" t="s">
        <v>838</v>
      </c>
      <c r="D168" s="965" t="s">
        <v>2593</v>
      </c>
    </row>
    <row r="169" spans="1:4" ht="22.8" x14ac:dyDescent="0.25">
      <c r="A169" s="963" t="s">
        <v>426</v>
      </c>
      <c r="B169" s="964" t="s">
        <v>516</v>
      </c>
      <c r="C169" s="964" t="s">
        <v>837</v>
      </c>
      <c r="D169" s="965" t="s">
        <v>2594</v>
      </c>
    </row>
    <row r="170" spans="1:4" x14ac:dyDescent="0.25">
      <c r="A170" s="960" t="s">
        <v>157</v>
      </c>
      <c r="B170" s="961" t="s">
        <v>517</v>
      </c>
      <c r="C170" s="961" t="s">
        <v>518</v>
      </c>
      <c r="D170" s="962" t="s">
        <v>2595</v>
      </c>
    </row>
    <row r="171" spans="1:4" ht="68.400000000000006" x14ac:dyDescent="0.25">
      <c r="A171" s="963" t="s">
        <v>694</v>
      </c>
      <c r="B171" s="964" t="s">
        <v>519</v>
      </c>
      <c r="C171" s="964" t="s">
        <v>2403</v>
      </c>
      <c r="D171" s="965" t="s">
        <v>2596</v>
      </c>
    </row>
    <row r="172" spans="1:4" ht="45.6" x14ac:dyDescent="0.25">
      <c r="A172" s="963" t="s">
        <v>427</v>
      </c>
      <c r="B172" s="964" t="s">
        <v>520</v>
      </c>
      <c r="C172" s="964" t="s">
        <v>839</v>
      </c>
      <c r="D172" s="965" t="s">
        <v>2597</v>
      </c>
    </row>
    <row r="173" spans="1:4" ht="34.200000000000003" x14ac:dyDescent="0.25">
      <c r="A173" s="963" t="s">
        <v>428</v>
      </c>
      <c r="B173" s="964" t="s">
        <v>521</v>
      </c>
      <c r="C173" s="964" t="s">
        <v>840</v>
      </c>
      <c r="D173" s="965" t="s">
        <v>2598</v>
      </c>
    </row>
    <row r="174" spans="1:4" ht="57" x14ac:dyDescent="0.25">
      <c r="A174" s="963" t="s">
        <v>429</v>
      </c>
      <c r="B174" s="964" t="s">
        <v>522</v>
      </c>
      <c r="C174" s="964" t="s">
        <v>922</v>
      </c>
      <c r="D174" s="965" t="s">
        <v>2599</v>
      </c>
    </row>
    <row r="175" spans="1:4" ht="45.6" x14ac:dyDescent="0.25">
      <c r="A175" s="963" t="s">
        <v>430</v>
      </c>
      <c r="B175" s="964" t="s">
        <v>523</v>
      </c>
      <c r="C175" s="964" t="s">
        <v>854</v>
      </c>
      <c r="D175" s="965" t="s">
        <v>2600</v>
      </c>
    </row>
    <row r="176" spans="1:4" ht="45.6" x14ac:dyDescent="0.25">
      <c r="A176" s="963" t="s">
        <v>431</v>
      </c>
      <c r="B176" s="964" t="s">
        <v>524</v>
      </c>
      <c r="C176" s="964" t="s">
        <v>841</v>
      </c>
      <c r="D176" s="965" t="s">
        <v>2601</v>
      </c>
    </row>
    <row r="177" spans="1:4" ht="34.200000000000003" x14ac:dyDescent="0.25">
      <c r="A177" s="963" t="s">
        <v>432</v>
      </c>
      <c r="B177" s="964" t="s">
        <v>525</v>
      </c>
      <c r="C177" s="964" t="s">
        <v>842</v>
      </c>
      <c r="D177" s="965" t="s">
        <v>2602</v>
      </c>
    </row>
    <row r="178" spans="1:4" ht="22.8" x14ac:dyDescent="0.25">
      <c r="A178" s="963" t="s">
        <v>433</v>
      </c>
      <c r="B178" s="964" t="s">
        <v>526</v>
      </c>
      <c r="C178" s="964" t="s">
        <v>831</v>
      </c>
      <c r="D178" s="965" t="s">
        <v>2603</v>
      </c>
    </row>
    <row r="179" spans="1:4" ht="57" x14ac:dyDescent="0.25">
      <c r="A179" s="963" t="s">
        <v>434</v>
      </c>
      <c r="B179" s="964" t="s">
        <v>527</v>
      </c>
      <c r="C179" s="964" t="s">
        <v>843</v>
      </c>
      <c r="D179" s="965" t="s">
        <v>2604</v>
      </c>
    </row>
    <row r="180" spans="1:4" s="973" customFormat="1" ht="34.200000000000003" x14ac:dyDescent="0.2">
      <c r="A180" s="963" t="s">
        <v>435</v>
      </c>
      <c r="B180" s="964" t="s">
        <v>528</v>
      </c>
      <c r="C180" s="964" t="s">
        <v>855</v>
      </c>
      <c r="D180" s="965" t="s">
        <v>2605</v>
      </c>
    </row>
    <row r="181" spans="1:4" s="970" customFormat="1" ht="22.8" x14ac:dyDescent="0.25">
      <c r="A181" s="963" t="s">
        <v>436</v>
      </c>
      <c r="B181" s="964" t="s">
        <v>529</v>
      </c>
      <c r="C181" s="964" t="s">
        <v>923</v>
      </c>
      <c r="D181" s="965" t="s">
        <v>2606</v>
      </c>
    </row>
    <row r="182" spans="1:4" ht="34.200000000000003" x14ac:dyDescent="0.25">
      <c r="A182" s="963" t="s">
        <v>437</v>
      </c>
      <c r="B182" s="964" t="s">
        <v>530</v>
      </c>
      <c r="C182" s="964" t="s">
        <v>845</v>
      </c>
      <c r="D182" s="965" t="s">
        <v>2607</v>
      </c>
    </row>
    <row r="183" spans="1:4" ht="22.8" x14ac:dyDescent="0.25">
      <c r="A183" s="960" t="s">
        <v>159</v>
      </c>
      <c r="B183" s="961" t="s">
        <v>531</v>
      </c>
      <c r="C183" s="961" t="s">
        <v>846</v>
      </c>
      <c r="D183" s="962" t="s">
        <v>2608</v>
      </c>
    </row>
    <row r="184" spans="1:4" ht="79.8" x14ac:dyDescent="0.25">
      <c r="A184" s="963" t="s">
        <v>695</v>
      </c>
      <c r="B184" s="964" t="s">
        <v>532</v>
      </c>
      <c r="C184" s="964" t="s">
        <v>844</v>
      </c>
      <c r="D184" s="965" t="s">
        <v>2609</v>
      </c>
    </row>
    <row r="185" spans="1:4" ht="34.200000000000003" x14ac:dyDescent="0.25">
      <c r="A185" s="963" t="s">
        <v>438</v>
      </c>
      <c r="B185" s="964" t="s">
        <v>533</v>
      </c>
      <c r="C185" s="964" t="s">
        <v>847</v>
      </c>
      <c r="D185" s="965" t="s">
        <v>2610</v>
      </c>
    </row>
    <row r="186" spans="1:4" ht="34.200000000000003" x14ac:dyDescent="0.25">
      <c r="A186" s="963" t="s">
        <v>439</v>
      </c>
      <c r="B186" s="964" t="s">
        <v>534</v>
      </c>
      <c r="C186" s="964" t="s">
        <v>849</v>
      </c>
      <c r="D186" s="965" t="s">
        <v>2611</v>
      </c>
    </row>
    <row r="187" spans="1:4" ht="22.8" x14ac:dyDescent="0.25">
      <c r="A187" s="963" t="s">
        <v>440</v>
      </c>
      <c r="B187" s="964" t="s">
        <v>535</v>
      </c>
      <c r="C187" s="964" t="s">
        <v>848</v>
      </c>
      <c r="D187" s="965" t="s">
        <v>2612</v>
      </c>
    </row>
    <row r="188" spans="1:4" s="970" customFormat="1" ht="22.8" x14ac:dyDescent="0.25">
      <c r="A188" s="963" t="s">
        <v>441</v>
      </c>
      <c r="B188" s="964" t="s">
        <v>536</v>
      </c>
      <c r="C188" s="964" t="s">
        <v>850</v>
      </c>
      <c r="D188" s="965" t="s">
        <v>2613</v>
      </c>
    </row>
    <row r="189" spans="1:4" s="970" customFormat="1" ht="34.200000000000003" x14ac:dyDescent="0.25">
      <c r="A189" s="963" t="s">
        <v>442</v>
      </c>
      <c r="B189" s="964" t="s">
        <v>537</v>
      </c>
      <c r="C189" s="964" t="s">
        <v>851</v>
      </c>
      <c r="D189" s="965" t="s">
        <v>2614</v>
      </c>
    </row>
    <row r="190" spans="1:4" ht="45.6" x14ac:dyDescent="0.25">
      <c r="A190" s="963" t="s">
        <v>443</v>
      </c>
      <c r="B190" s="964" t="s">
        <v>538</v>
      </c>
      <c r="C190" s="964" t="s">
        <v>924</v>
      </c>
      <c r="D190" s="965" t="s">
        <v>2615</v>
      </c>
    </row>
    <row r="191" spans="1:4" ht="22.8" x14ac:dyDescent="0.25">
      <c r="A191" s="963" t="s">
        <v>444</v>
      </c>
      <c r="B191" s="964" t="s">
        <v>539</v>
      </c>
      <c r="C191" s="964" t="s">
        <v>852</v>
      </c>
      <c r="D191" s="965" t="s">
        <v>2616</v>
      </c>
    </row>
    <row r="192" spans="1:4" s="973" customFormat="1" ht="34.200000000000003" x14ac:dyDescent="0.2">
      <c r="A192" s="963" t="s">
        <v>445</v>
      </c>
      <c r="B192" s="964" t="s">
        <v>540</v>
      </c>
      <c r="C192" s="964" t="s">
        <v>853</v>
      </c>
      <c r="D192" s="965" t="s">
        <v>2617</v>
      </c>
    </row>
    <row r="193" spans="1:4" x14ac:dyDescent="0.25">
      <c r="A193" s="1143" t="s">
        <v>447</v>
      </c>
      <c r="B193" s="1144" t="s">
        <v>667</v>
      </c>
      <c r="C193" s="1144" t="s">
        <v>4</v>
      </c>
      <c r="D193" s="1145" t="s">
        <v>2618</v>
      </c>
    </row>
    <row r="194" spans="1:4" x14ac:dyDescent="0.25">
      <c r="A194" s="1143" t="s">
        <v>448</v>
      </c>
      <c r="B194" s="1144" t="s">
        <v>826</v>
      </c>
      <c r="C194" s="1144" t="s">
        <v>825</v>
      </c>
      <c r="D194" s="1145" t="s">
        <v>2619</v>
      </c>
    </row>
    <row r="195" spans="1:4" x14ac:dyDescent="0.25">
      <c r="A195" s="1143" t="s">
        <v>449</v>
      </c>
      <c r="B195" s="1144" t="s">
        <v>666</v>
      </c>
      <c r="C195" s="1144" t="s">
        <v>2</v>
      </c>
      <c r="D195" s="1145" t="s">
        <v>2620</v>
      </c>
    </row>
    <row r="196" spans="1:4" s="970" customFormat="1" x14ac:dyDescent="0.25">
      <c r="A196" s="1143" t="s">
        <v>450</v>
      </c>
      <c r="B196" s="1144" t="s">
        <v>31</v>
      </c>
      <c r="C196" s="1144" t="s">
        <v>3</v>
      </c>
      <c r="D196" s="1145" t="s">
        <v>2621</v>
      </c>
    </row>
    <row r="197" spans="1:4" x14ac:dyDescent="0.25">
      <c r="A197" s="1143" t="s">
        <v>821</v>
      </c>
      <c r="B197" s="1144" t="s">
        <v>740</v>
      </c>
      <c r="C197" s="1144" t="s">
        <v>705</v>
      </c>
      <c r="D197" s="1145" t="s">
        <v>2622</v>
      </c>
    </row>
    <row r="198" spans="1:4" x14ac:dyDescent="0.25">
      <c r="A198" s="1143" t="s">
        <v>774</v>
      </c>
      <c r="B198" s="1144" t="s">
        <v>775</v>
      </c>
      <c r="C198" s="1144" t="s">
        <v>688</v>
      </c>
      <c r="D198" s="1145" t="s">
        <v>2623</v>
      </c>
    </row>
    <row r="199" spans="1:4" x14ac:dyDescent="0.25">
      <c r="A199" s="1143" t="s">
        <v>683</v>
      </c>
      <c r="B199" s="1144" t="s">
        <v>810</v>
      </c>
      <c r="C199" s="1144" t="s">
        <v>811</v>
      </c>
      <c r="D199" s="1145" t="s">
        <v>2624</v>
      </c>
    </row>
    <row r="200" spans="1:4" x14ac:dyDescent="0.25">
      <c r="A200" s="1143" t="s">
        <v>751</v>
      </c>
      <c r="B200" s="1144" t="s">
        <v>741</v>
      </c>
      <c r="C200" s="1144" t="s">
        <v>696</v>
      </c>
      <c r="D200" s="1145" t="s">
        <v>2625</v>
      </c>
    </row>
    <row r="201" spans="1:4" ht="114" x14ac:dyDescent="0.25">
      <c r="A201" s="1143" t="s">
        <v>752</v>
      </c>
      <c r="B201" s="1144" t="s">
        <v>3110</v>
      </c>
      <c r="C201" s="1144" t="s">
        <v>3109</v>
      </c>
      <c r="D201" s="1145" t="s">
        <v>2626</v>
      </c>
    </row>
    <row r="202" spans="1:4" x14ac:dyDescent="0.25">
      <c r="A202" s="1143" t="s">
        <v>753</v>
      </c>
      <c r="B202" s="1144" t="s">
        <v>662</v>
      </c>
      <c r="C202" s="1144" t="s">
        <v>661</v>
      </c>
      <c r="D202" s="1145" t="s">
        <v>2627</v>
      </c>
    </row>
    <row r="203" spans="1:4" x14ac:dyDescent="0.25">
      <c r="A203" s="1143" t="s">
        <v>754</v>
      </c>
      <c r="B203" s="1144" t="s">
        <v>761</v>
      </c>
      <c r="C203" s="1144" t="s">
        <v>656</v>
      </c>
      <c r="D203" s="1145" t="s">
        <v>2628</v>
      </c>
    </row>
    <row r="204" spans="1:4" x14ac:dyDescent="0.25">
      <c r="A204" s="1143" t="s">
        <v>755</v>
      </c>
      <c r="B204" s="1144" t="s">
        <v>762</v>
      </c>
      <c r="C204" s="1144" t="s">
        <v>657</v>
      </c>
      <c r="D204" s="1145" t="s">
        <v>2629</v>
      </c>
    </row>
    <row r="205" spans="1:4" x14ac:dyDescent="0.25">
      <c r="A205" s="1143" t="s">
        <v>756</v>
      </c>
      <c r="B205" s="1144" t="s">
        <v>763</v>
      </c>
      <c r="C205" s="1144" t="s">
        <v>658</v>
      </c>
      <c r="D205" s="1145" t="s">
        <v>2630</v>
      </c>
    </row>
    <row r="206" spans="1:4" s="970" customFormat="1" x14ac:dyDescent="0.25">
      <c r="A206" s="1143" t="s">
        <v>757</v>
      </c>
      <c r="B206" s="1144" t="s">
        <v>764</v>
      </c>
      <c r="C206" s="1144" t="s">
        <v>703</v>
      </c>
      <c r="D206" s="1145" t="s">
        <v>2631</v>
      </c>
    </row>
    <row r="207" spans="1:4" x14ac:dyDescent="0.25">
      <c r="A207" s="1143" t="s">
        <v>758</v>
      </c>
      <c r="B207" s="1144" t="s">
        <v>765</v>
      </c>
      <c r="C207" s="1144" t="s">
        <v>704</v>
      </c>
      <c r="D207" s="1145" t="s">
        <v>2632</v>
      </c>
    </row>
    <row r="208" spans="1:4" x14ac:dyDescent="0.25">
      <c r="A208" s="1143" t="s">
        <v>759</v>
      </c>
      <c r="B208" s="1144" t="s">
        <v>766</v>
      </c>
      <c r="C208" s="1144" t="s">
        <v>659</v>
      </c>
      <c r="D208" s="1145" t="s">
        <v>766</v>
      </c>
    </row>
    <row r="209" spans="1:4" x14ac:dyDescent="0.25">
      <c r="A209" s="1143" t="s">
        <v>750</v>
      </c>
      <c r="B209" s="1144" t="s">
        <v>767</v>
      </c>
      <c r="C209" s="1144" t="s">
        <v>660</v>
      </c>
      <c r="D209" s="1145" t="s">
        <v>2633</v>
      </c>
    </row>
    <row r="210" spans="1:4" x14ac:dyDescent="0.25">
      <c r="A210" s="1143" t="s">
        <v>760</v>
      </c>
      <c r="B210" s="1144" t="s">
        <v>768</v>
      </c>
      <c r="C210" s="1144" t="s">
        <v>702</v>
      </c>
      <c r="D210" s="1145" t="s">
        <v>768</v>
      </c>
    </row>
    <row r="211" spans="1:4" x14ac:dyDescent="0.25">
      <c r="A211" s="1143" t="s">
        <v>1719</v>
      </c>
      <c r="B211" s="1144" t="s">
        <v>679</v>
      </c>
      <c r="C211" s="1144" t="s">
        <v>691</v>
      </c>
      <c r="D211" s="1145" t="s">
        <v>2634</v>
      </c>
    </row>
    <row r="212" spans="1:4" x14ac:dyDescent="0.25">
      <c r="A212" s="1143" t="s">
        <v>1720</v>
      </c>
      <c r="B212" s="1144" t="s">
        <v>1732</v>
      </c>
      <c r="C212" s="1144" t="s">
        <v>1714</v>
      </c>
      <c r="D212" s="1145" t="s">
        <v>2635</v>
      </c>
    </row>
    <row r="213" spans="1:4" x14ac:dyDescent="0.25">
      <c r="A213" s="1143" t="s">
        <v>1721</v>
      </c>
      <c r="B213" s="1144" t="s">
        <v>1733</v>
      </c>
      <c r="C213" s="1144" t="s">
        <v>1715</v>
      </c>
      <c r="D213" s="1145" t="s">
        <v>2636</v>
      </c>
    </row>
    <row r="214" spans="1:4" x14ac:dyDescent="0.25">
      <c r="A214" s="1143" t="s">
        <v>1722</v>
      </c>
      <c r="B214" s="1144" t="s">
        <v>1734</v>
      </c>
      <c r="C214" s="1144" t="s">
        <v>1716</v>
      </c>
      <c r="D214" s="1145" t="s">
        <v>2637</v>
      </c>
    </row>
    <row r="215" spans="1:4" x14ac:dyDescent="0.25">
      <c r="A215" s="1143" t="s">
        <v>1723</v>
      </c>
      <c r="B215" s="1144" t="s">
        <v>1735</v>
      </c>
      <c r="C215" s="1144" t="s">
        <v>1717</v>
      </c>
      <c r="D215" s="1145" t="s">
        <v>2638</v>
      </c>
    </row>
    <row r="216" spans="1:4" x14ac:dyDescent="0.25">
      <c r="A216" s="1143" t="s">
        <v>1724</v>
      </c>
      <c r="B216" s="1144" t="s">
        <v>1736</v>
      </c>
      <c r="C216" s="1144" t="s">
        <v>1718</v>
      </c>
      <c r="D216" s="1145" t="s">
        <v>2639</v>
      </c>
    </row>
    <row r="217" spans="1:4" x14ac:dyDescent="0.25">
      <c r="A217" s="1143" t="s">
        <v>1725</v>
      </c>
      <c r="B217" s="1144" t="s">
        <v>1737</v>
      </c>
      <c r="C217" s="1144" t="s">
        <v>1485</v>
      </c>
      <c r="D217" s="1145" t="s">
        <v>2640</v>
      </c>
    </row>
    <row r="218" spans="1:4" s="970" customFormat="1" x14ac:dyDescent="0.25">
      <c r="A218" s="1143" t="s">
        <v>1726</v>
      </c>
      <c r="B218" s="1144" t="s">
        <v>1738</v>
      </c>
      <c r="C218" s="1144" t="s">
        <v>1481</v>
      </c>
      <c r="D218" s="1145" t="s">
        <v>2641</v>
      </c>
    </row>
    <row r="219" spans="1:4" x14ac:dyDescent="0.25">
      <c r="A219" s="1143" t="s">
        <v>1727</v>
      </c>
      <c r="B219" s="1144" t="s">
        <v>1739</v>
      </c>
      <c r="C219" s="1144" t="s">
        <v>1484</v>
      </c>
      <c r="D219" s="1145" t="s">
        <v>2642</v>
      </c>
    </row>
    <row r="220" spans="1:4" x14ac:dyDescent="0.25">
      <c r="A220" s="1143" t="s">
        <v>1728</v>
      </c>
      <c r="B220" s="1144" t="s">
        <v>1740</v>
      </c>
      <c r="C220" s="1144" t="s">
        <v>1712</v>
      </c>
      <c r="D220" s="1145" t="s">
        <v>2643</v>
      </c>
    </row>
    <row r="221" spans="1:4" x14ac:dyDescent="0.25">
      <c r="A221" s="1143" t="s">
        <v>1729</v>
      </c>
      <c r="B221" s="1144" t="s">
        <v>1741</v>
      </c>
      <c r="C221" s="1144" t="s">
        <v>1713</v>
      </c>
      <c r="D221" s="1145" t="s">
        <v>2644</v>
      </c>
    </row>
    <row r="222" spans="1:4" x14ac:dyDescent="0.25">
      <c r="A222" s="1143" t="s">
        <v>1730</v>
      </c>
      <c r="B222" s="1144" t="s">
        <v>1742</v>
      </c>
      <c r="C222" s="1144" t="s">
        <v>1711</v>
      </c>
      <c r="D222" s="1145" t="s">
        <v>2645</v>
      </c>
    </row>
    <row r="223" spans="1:4" x14ac:dyDescent="0.25">
      <c r="A223" s="1143" t="s">
        <v>1731</v>
      </c>
      <c r="B223" s="1144" t="s">
        <v>1743</v>
      </c>
      <c r="C223" s="1144" t="s">
        <v>1482</v>
      </c>
      <c r="D223" s="1145" t="s">
        <v>2646</v>
      </c>
    </row>
    <row r="224" spans="1:4" x14ac:dyDescent="0.25">
      <c r="A224" s="1143" t="s">
        <v>680</v>
      </c>
      <c r="B224" s="1144" t="s">
        <v>2414</v>
      </c>
      <c r="C224" s="1144" t="s">
        <v>2415</v>
      </c>
      <c r="D224" s="1145" t="s">
        <v>2647</v>
      </c>
    </row>
    <row r="225" spans="1:4" x14ac:dyDescent="0.25">
      <c r="A225" s="1143" t="s">
        <v>742</v>
      </c>
      <c r="B225" s="1144" t="s">
        <v>2410</v>
      </c>
      <c r="C225" s="1144" t="s">
        <v>2413</v>
      </c>
      <c r="D225" s="1145" t="s">
        <v>2648</v>
      </c>
    </row>
    <row r="226" spans="1:4" x14ac:dyDescent="0.25">
      <c r="A226" s="1143" t="s">
        <v>743</v>
      </c>
      <c r="B226" s="1144" t="s">
        <v>2411</v>
      </c>
      <c r="C226" s="1144" t="s">
        <v>2412</v>
      </c>
      <c r="D226" s="1145" t="s">
        <v>2649</v>
      </c>
    </row>
    <row r="227" spans="1:4" x14ac:dyDescent="0.25">
      <c r="A227" s="1143" t="s">
        <v>744</v>
      </c>
      <c r="B227" s="1144" t="s">
        <v>685</v>
      </c>
      <c r="C227" s="1144" t="s">
        <v>697</v>
      </c>
      <c r="D227" s="1145" t="s">
        <v>2650</v>
      </c>
    </row>
    <row r="228" spans="1:4" x14ac:dyDescent="0.25">
      <c r="A228" s="1143" t="s">
        <v>745</v>
      </c>
      <c r="B228" s="1144" t="s">
        <v>928</v>
      </c>
      <c r="C228" s="1144" t="s">
        <v>929</v>
      </c>
      <c r="D228" s="1145" t="s">
        <v>2651</v>
      </c>
    </row>
    <row r="229" spans="1:4" x14ac:dyDescent="0.25">
      <c r="A229" s="1143" t="s">
        <v>746</v>
      </c>
      <c r="B229" s="1144" t="s">
        <v>928</v>
      </c>
      <c r="C229" s="1144" t="s">
        <v>929</v>
      </c>
      <c r="D229" s="1145" t="s">
        <v>2651</v>
      </c>
    </row>
    <row r="230" spans="1:4" ht="45.6" x14ac:dyDescent="0.25">
      <c r="A230" s="1143" t="s">
        <v>747</v>
      </c>
      <c r="B230" s="1144" t="s">
        <v>3043</v>
      </c>
      <c r="C230" s="1144" t="s">
        <v>3063</v>
      </c>
      <c r="D230" s="1145" t="s">
        <v>3042</v>
      </c>
    </row>
    <row r="231" spans="1:4" x14ac:dyDescent="0.25">
      <c r="A231" s="1143" t="s">
        <v>748</v>
      </c>
      <c r="B231" s="1144" t="s">
        <v>965</v>
      </c>
      <c r="C231" s="1144" t="s">
        <v>966</v>
      </c>
      <c r="D231" s="1145" t="s">
        <v>2652</v>
      </c>
    </row>
    <row r="232" spans="1:4" ht="91.2" x14ac:dyDescent="0.25">
      <c r="A232" s="1143" t="s">
        <v>749</v>
      </c>
      <c r="B232" s="1144" t="s">
        <v>963</v>
      </c>
      <c r="C232" s="1144" t="s">
        <v>964</v>
      </c>
      <c r="D232" s="1145" t="s">
        <v>2653</v>
      </c>
    </row>
    <row r="233" spans="1:4" x14ac:dyDescent="0.25">
      <c r="A233" s="1143" t="s">
        <v>681</v>
      </c>
      <c r="B233" s="1144" t="s">
        <v>824</v>
      </c>
      <c r="C233" s="1144" t="s">
        <v>823</v>
      </c>
      <c r="D233" s="1145" t="s">
        <v>2654</v>
      </c>
    </row>
    <row r="234" spans="1:4" x14ac:dyDescent="0.25">
      <c r="A234" s="1143" t="s">
        <v>682</v>
      </c>
      <c r="B234" s="1144" t="s">
        <v>686</v>
      </c>
      <c r="C234" s="1144" t="s">
        <v>822</v>
      </c>
      <c r="D234" s="1145" t="s">
        <v>2655</v>
      </c>
    </row>
    <row r="235" spans="1:4" x14ac:dyDescent="0.25">
      <c r="A235" s="1143" t="s">
        <v>900</v>
      </c>
      <c r="B235" s="1144" t="s">
        <v>3098</v>
      </c>
      <c r="C235" s="1144" t="s">
        <v>3097</v>
      </c>
      <c r="D235" s="1145" t="s">
        <v>3096</v>
      </c>
    </row>
    <row r="236" spans="1:4" x14ac:dyDescent="0.25">
      <c r="A236" s="1143" t="s">
        <v>905</v>
      </c>
      <c r="B236" s="1144" t="s">
        <v>906</v>
      </c>
      <c r="C236" s="1144" t="s">
        <v>907</v>
      </c>
      <c r="D236" s="1145" t="s">
        <v>2656</v>
      </c>
    </row>
    <row r="237" spans="1:4" x14ac:dyDescent="0.25">
      <c r="A237" s="1143" t="s">
        <v>908</v>
      </c>
      <c r="B237" s="1144" t="s">
        <v>913</v>
      </c>
      <c r="C237" s="1144" t="s">
        <v>912</v>
      </c>
      <c r="D237" s="1145" t="s">
        <v>2657</v>
      </c>
    </row>
    <row r="238" spans="1:4" ht="22.8" x14ac:dyDescent="0.25">
      <c r="A238" s="1143" t="s">
        <v>909</v>
      </c>
      <c r="B238" s="1144" t="s">
        <v>910</v>
      </c>
      <c r="C238" s="1144" t="s">
        <v>911</v>
      </c>
      <c r="D238" s="1145" t="s">
        <v>2658</v>
      </c>
    </row>
    <row r="239" spans="1:4" x14ac:dyDescent="0.25">
      <c r="A239" s="1143" t="s">
        <v>873</v>
      </c>
      <c r="B239" s="1144" t="s">
        <v>785</v>
      </c>
      <c r="C239" s="1144" t="s">
        <v>506</v>
      </c>
      <c r="D239" s="1145" t="s">
        <v>2659</v>
      </c>
    </row>
    <row r="240" spans="1:4" x14ac:dyDescent="0.25">
      <c r="A240" s="1143" t="s">
        <v>874</v>
      </c>
      <c r="B240" s="1144" t="s">
        <v>871</v>
      </c>
      <c r="C240" s="1144" t="s">
        <v>879</v>
      </c>
      <c r="D240" s="1145" t="s">
        <v>914</v>
      </c>
    </row>
    <row r="241" spans="1:4" x14ac:dyDescent="0.25">
      <c r="A241" s="1143" t="s">
        <v>875</v>
      </c>
      <c r="B241" s="1144" t="s">
        <v>876</v>
      </c>
      <c r="C241" s="1144" t="s">
        <v>880</v>
      </c>
      <c r="D241" s="1145" t="s">
        <v>915</v>
      </c>
    </row>
    <row r="242" spans="1:4" x14ac:dyDescent="0.25">
      <c r="A242" s="1143" t="s">
        <v>898</v>
      </c>
      <c r="B242" s="1144" t="s">
        <v>877</v>
      </c>
      <c r="C242" s="1144" t="s">
        <v>878</v>
      </c>
      <c r="D242" s="1145" t="s">
        <v>916</v>
      </c>
    </row>
    <row r="243" spans="1:4" x14ac:dyDescent="0.25">
      <c r="A243" s="1143" t="s">
        <v>904</v>
      </c>
      <c r="B243" s="1144" t="s">
        <v>899</v>
      </c>
      <c r="C243" s="1144" t="s">
        <v>733</v>
      </c>
      <c r="D243" s="1145" t="s">
        <v>2660</v>
      </c>
    </row>
    <row r="244" spans="1:4" x14ac:dyDescent="0.25">
      <c r="A244" s="1143" t="s">
        <v>2204</v>
      </c>
      <c r="B244" s="1144" t="s">
        <v>2205</v>
      </c>
      <c r="C244" s="1144" t="s">
        <v>1483</v>
      </c>
      <c r="D244" s="1145" t="s">
        <v>2661</v>
      </c>
    </row>
    <row r="245" spans="1:4" x14ac:dyDescent="0.25">
      <c r="A245" s="1143" t="s">
        <v>2282</v>
      </c>
      <c r="B245" s="1144" t="s">
        <v>2283</v>
      </c>
      <c r="C245" s="1144" t="s">
        <v>2281</v>
      </c>
      <c r="D245" s="1145" t="s">
        <v>2662</v>
      </c>
    </row>
    <row r="246" spans="1:4" x14ac:dyDescent="0.25">
      <c r="A246" s="1143" t="s">
        <v>2290</v>
      </c>
      <c r="B246" s="1144" t="s">
        <v>2291</v>
      </c>
      <c r="C246" s="1144" t="s">
        <v>3070</v>
      </c>
      <c r="D246" s="1145" t="s">
        <v>2663</v>
      </c>
    </row>
    <row r="247" spans="1:4" x14ac:dyDescent="0.25">
      <c r="A247" s="1143" t="s">
        <v>2406</v>
      </c>
      <c r="B247" s="1144" t="s">
        <v>2408</v>
      </c>
      <c r="C247" s="1144" t="s">
        <v>2409</v>
      </c>
      <c r="D247" s="1145" t="s">
        <v>2664</v>
      </c>
    </row>
    <row r="248" spans="1:4" x14ac:dyDescent="0.25">
      <c r="A248" s="1143" t="s">
        <v>2407</v>
      </c>
      <c r="B248" s="1144" t="s">
        <v>685</v>
      </c>
      <c r="C248" s="1144" t="s">
        <v>697</v>
      </c>
      <c r="D248" s="1145" t="s">
        <v>2665</v>
      </c>
    </row>
    <row r="249" spans="1:4" ht="22.8" x14ac:dyDescent="0.25">
      <c r="A249" s="1143" t="s">
        <v>2416</v>
      </c>
      <c r="B249" s="1144" t="s">
        <v>2417</v>
      </c>
      <c r="C249" s="1144" t="s">
        <v>2418</v>
      </c>
      <c r="D249" s="1145" t="s">
        <v>2666</v>
      </c>
    </row>
    <row r="250" spans="1:4" x14ac:dyDescent="0.25">
      <c r="A250" s="1143" t="s">
        <v>477</v>
      </c>
      <c r="B250" s="1144" t="s">
        <v>809</v>
      </c>
      <c r="C250" s="1144" t="s">
        <v>678</v>
      </c>
      <c r="D250" s="1145" t="s">
        <v>2667</v>
      </c>
    </row>
    <row r="251" spans="1:4" ht="79.8" x14ac:dyDescent="0.25">
      <c r="A251" s="1143" t="s">
        <v>672</v>
      </c>
      <c r="B251" s="1144" t="s">
        <v>3113</v>
      </c>
      <c r="C251" s="1144" t="s">
        <v>3116</v>
      </c>
      <c r="D251" s="1145" t="s">
        <v>3114</v>
      </c>
    </row>
    <row r="252" spans="1:4" x14ac:dyDescent="0.25">
      <c r="A252" s="1143" t="s">
        <v>796</v>
      </c>
      <c r="B252" s="1144" t="s">
        <v>738</v>
      </c>
      <c r="C252" s="1144" t="s">
        <v>784</v>
      </c>
      <c r="D252" s="1145" t="s">
        <v>738</v>
      </c>
    </row>
    <row r="253" spans="1:4" x14ac:dyDescent="0.25">
      <c r="A253" s="1143" t="s">
        <v>797</v>
      </c>
      <c r="B253" s="1144" t="s">
        <v>778</v>
      </c>
      <c r="C253" s="1144" t="s">
        <v>779</v>
      </c>
      <c r="D253" s="1145" t="s">
        <v>2668</v>
      </c>
    </row>
    <row r="254" spans="1:4" x14ac:dyDescent="0.25">
      <c r="A254" s="1143" t="s">
        <v>798</v>
      </c>
      <c r="B254" s="1144" t="s">
        <v>780</v>
      </c>
      <c r="C254" s="1144" t="s">
        <v>541</v>
      </c>
      <c r="D254" s="1145" t="s">
        <v>2669</v>
      </c>
    </row>
    <row r="255" spans="1:4" s="970" customFormat="1" x14ac:dyDescent="0.25">
      <c r="A255" s="1143" t="s">
        <v>799</v>
      </c>
      <c r="B255" s="1144" t="s">
        <v>679</v>
      </c>
      <c r="C255" s="1144" t="s">
        <v>691</v>
      </c>
      <c r="D255" s="1145" t="s">
        <v>2634</v>
      </c>
    </row>
    <row r="256" spans="1:4" x14ac:dyDescent="0.25">
      <c r="A256" s="1143" t="s">
        <v>800</v>
      </c>
      <c r="B256" s="1144" t="s">
        <v>3119</v>
      </c>
      <c r="C256" s="1144" t="s">
        <v>3118</v>
      </c>
      <c r="D256" s="1145" t="s">
        <v>3120</v>
      </c>
    </row>
    <row r="257" spans="1:4" x14ac:dyDescent="0.25">
      <c r="A257" s="1143" t="s">
        <v>801</v>
      </c>
      <c r="B257" s="1144" t="s">
        <v>739</v>
      </c>
      <c r="C257" s="1144" t="s">
        <v>690</v>
      </c>
      <c r="D257" s="1145" t="s">
        <v>2670</v>
      </c>
    </row>
    <row r="258" spans="1:4" x14ac:dyDescent="0.25">
      <c r="A258" s="1143" t="s">
        <v>802</v>
      </c>
      <c r="B258" s="1144" t="s">
        <v>781</v>
      </c>
      <c r="C258" s="1144" t="s">
        <v>1797</v>
      </c>
      <c r="D258" s="1145" t="s">
        <v>2671</v>
      </c>
    </row>
    <row r="259" spans="1:4" x14ac:dyDescent="0.25">
      <c r="A259" s="1143" t="s">
        <v>803</v>
      </c>
      <c r="B259" s="1144" t="s">
        <v>2292</v>
      </c>
      <c r="C259" s="1144" t="s">
        <v>1798</v>
      </c>
      <c r="D259" s="1145" t="s">
        <v>2672</v>
      </c>
    </row>
    <row r="260" spans="1:4" x14ac:dyDescent="0.25">
      <c r="A260" s="1143" t="s">
        <v>2277</v>
      </c>
      <c r="B260" s="1144" t="s">
        <v>2311</v>
      </c>
      <c r="C260" s="1144" t="s">
        <v>2312</v>
      </c>
      <c r="D260" s="1145" t="s">
        <v>2673</v>
      </c>
    </row>
    <row r="261" spans="1:4" x14ac:dyDescent="0.25">
      <c r="A261" s="1143" t="s">
        <v>2309</v>
      </c>
      <c r="B261" s="1144" t="s">
        <v>2313</v>
      </c>
      <c r="C261" s="1144" t="s">
        <v>2310</v>
      </c>
      <c r="D261" s="1145" t="s">
        <v>2674</v>
      </c>
    </row>
    <row r="262" spans="1:4" x14ac:dyDescent="0.25">
      <c r="A262" s="1143" t="s">
        <v>804</v>
      </c>
      <c r="B262" s="1144" t="s">
        <v>813</v>
      </c>
      <c r="C262" s="1144" t="s">
        <v>782</v>
      </c>
      <c r="D262" s="1145" t="s">
        <v>2675</v>
      </c>
    </row>
    <row r="263" spans="1:4" x14ac:dyDescent="0.25">
      <c r="A263" s="1143" t="s">
        <v>805</v>
      </c>
      <c r="B263" s="1144" t="s">
        <v>817</v>
      </c>
      <c r="C263" s="1144" t="s">
        <v>816</v>
      </c>
      <c r="D263" s="1145" t="s">
        <v>2676</v>
      </c>
    </row>
    <row r="264" spans="1:4" s="970" customFormat="1" x14ac:dyDescent="0.25">
      <c r="A264" s="1143" t="s">
        <v>806</v>
      </c>
      <c r="B264" s="1144" t="s">
        <v>783</v>
      </c>
      <c r="C264" s="1144" t="s">
        <v>696</v>
      </c>
      <c r="D264" s="1145" t="s">
        <v>2625</v>
      </c>
    </row>
    <row r="265" spans="1:4" s="970" customFormat="1" x14ac:dyDescent="0.25">
      <c r="A265" s="1143" t="s">
        <v>812</v>
      </c>
      <c r="B265" s="1144" t="s">
        <v>3090</v>
      </c>
      <c r="C265" s="1144" t="s">
        <v>3089</v>
      </c>
      <c r="D265" s="1145" t="s">
        <v>3086</v>
      </c>
    </row>
    <row r="266" spans="1:4" s="970" customFormat="1" x14ac:dyDescent="0.25">
      <c r="A266" s="1143" t="s">
        <v>3121</v>
      </c>
      <c r="B266" s="1144" t="s">
        <v>3123</v>
      </c>
      <c r="C266" s="1144" t="s">
        <v>3122</v>
      </c>
      <c r="D266" s="1145" t="s">
        <v>3124</v>
      </c>
    </row>
    <row r="267" spans="1:4" x14ac:dyDescent="0.25">
      <c r="A267" s="1143" t="s">
        <v>807</v>
      </c>
      <c r="B267" s="1144" t="s">
        <v>815</v>
      </c>
      <c r="C267" s="1144" t="s">
        <v>814</v>
      </c>
      <c r="D267" s="1145" t="s">
        <v>2677</v>
      </c>
    </row>
    <row r="268" spans="1:4" x14ac:dyDescent="0.25">
      <c r="A268" s="1143" t="s">
        <v>808</v>
      </c>
      <c r="B268" s="1144" t="s">
        <v>3091</v>
      </c>
      <c r="C268" s="1144" t="s">
        <v>3088</v>
      </c>
      <c r="D268" s="1145" t="s">
        <v>3084</v>
      </c>
    </row>
    <row r="269" spans="1:4" x14ac:dyDescent="0.25">
      <c r="A269" s="1143" t="s">
        <v>818</v>
      </c>
      <c r="B269" s="1144" t="s">
        <v>3092</v>
      </c>
      <c r="C269" s="1144" t="s">
        <v>3087</v>
      </c>
      <c r="D269" s="1145" t="s">
        <v>3085</v>
      </c>
    </row>
    <row r="270" spans="1:4" x14ac:dyDescent="0.25">
      <c r="A270" s="1143" t="s">
        <v>819</v>
      </c>
      <c r="B270" s="1144" t="s">
        <v>824</v>
      </c>
      <c r="C270" s="1144" t="s">
        <v>823</v>
      </c>
      <c r="D270" s="1145" t="s">
        <v>2654</v>
      </c>
    </row>
    <row r="271" spans="1:4" x14ac:dyDescent="0.25">
      <c r="A271" s="1143" t="s">
        <v>820</v>
      </c>
      <c r="B271" s="1144" t="s">
        <v>3081</v>
      </c>
      <c r="C271" s="1144" t="s">
        <v>3078</v>
      </c>
      <c r="D271" s="1145" t="s">
        <v>3079</v>
      </c>
    </row>
    <row r="272" spans="1:4" x14ac:dyDescent="0.25">
      <c r="A272" s="1143" t="s">
        <v>1690</v>
      </c>
      <c r="B272" s="1144" t="s">
        <v>1705</v>
      </c>
      <c r="C272" s="1144" t="s">
        <v>1704</v>
      </c>
      <c r="D272" s="1145" t="s">
        <v>2678</v>
      </c>
    </row>
    <row r="273" spans="1:4" x14ac:dyDescent="0.25">
      <c r="A273" s="1143" t="s">
        <v>1703</v>
      </c>
      <c r="B273" s="1144" t="s">
        <v>1706</v>
      </c>
      <c r="C273" s="1144" t="s">
        <v>1707</v>
      </c>
      <c r="D273" s="1145" t="s">
        <v>2679</v>
      </c>
    </row>
    <row r="274" spans="1:4" x14ac:dyDescent="0.2">
      <c r="A274" s="1143" t="s">
        <v>2206</v>
      </c>
      <c r="B274" s="1146" t="s">
        <v>686</v>
      </c>
      <c r="C274" s="1146" t="s">
        <v>822</v>
      </c>
      <c r="D274" s="1145" t="s">
        <v>2655</v>
      </c>
    </row>
    <row r="275" spans="1:4" x14ac:dyDescent="0.2">
      <c r="A275" s="1143" t="s">
        <v>2207</v>
      </c>
      <c r="B275" s="1146" t="s">
        <v>3080</v>
      </c>
      <c r="C275" s="1146" t="s">
        <v>3082</v>
      </c>
      <c r="D275" s="1145" t="s">
        <v>3083</v>
      </c>
    </row>
    <row r="276" spans="1:4" x14ac:dyDescent="0.2">
      <c r="A276" s="1143" t="s">
        <v>2294</v>
      </c>
      <c r="B276" s="1146" t="s">
        <v>2297</v>
      </c>
      <c r="C276" s="1146" t="s">
        <v>2293</v>
      </c>
      <c r="D276" s="1145" t="s">
        <v>2680</v>
      </c>
    </row>
    <row r="277" spans="1:4" x14ac:dyDescent="0.2">
      <c r="A277" s="1143" t="s">
        <v>2295</v>
      </c>
      <c r="B277" s="1146" t="s">
        <v>2298</v>
      </c>
      <c r="C277" s="1146" t="s">
        <v>2296</v>
      </c>
      <c r="D277" s="1145" t="s">
        <v>2681</v>
      </c>
    </row>
    <row r="278" spans="1:4" ht="397.2" customHeight="1" x14ac:dyDescent="0.25">
      <c r="A278" s="1143" t="s">
        <v>2308</v>
      </c>
      <c r="B278" s="1144" t="s">
        <v>2324</v>
      </c>
      <c r="C278" s="1144" t="s">
        <v>2351</v>
      </c>
      <c r="D278" s="1145" t="s">
        <v>2682</v>
      </c>
    </row>
    <row r="279" spans="1:4" x14ac:dyDescent="0.2">
      <c r="A279" s="1143" t="s">
        <v>2314</v>
      </c>
      <c r="B279" s="1146" t="s">
        <v>2315</v>
      </c>
      <c r="C279" s="1146" t="s">
        <v>2316</v>
      </c>
      <c r="D279" s="1145" t="s">
        <v>2683</v>
      </c>
    </row>
    <row r="280" spans="1:4" x14ac:dyDescent="0.2">
      <c r="A280" s="1143" t="s">
        <v>2317</v>
      </c>
      <c r="B280" s="1146" t="s">
        <v>778</v>
      </c>
      <c r="C280" s="1146" t="s">
        <v>779</v>
      </c>
      <c r="D280" s="1145" t="s">
        <v>2668</v>
      </c>
    </row>
    <row r="281" spans="1:4" x14ac:dyDescent="0.2">
      <c r="A281" s="1143" t="s">
        <v>2318</v>
      </c>
      <c r="B281" s="1146" t="s">
        <v>1737</v>
      </c>
      <c r="C281" s="1146" t="s">
        <v>2278</v>
      </c>
      <c r="D281" s="1145" t="s">
        <v>2640</v>
      </c>
    </row>
    <row r="282" spans="1:4" x14ac:dyDescent="0.2">
      <c r="A282" s="1143" t="s">
        <v>2319</v>
      </c>
      <c r="B282" s="1146" t="s">
        <v>2320</v>
      </c>
      <c r="C282" s="1146" t="s">
        <v>1484</v>
      </c>
      <c r="D282" s="1145" t="s">
        <v>2642</v>
      </c>
    </row>
    <row r="283" spans="1:4" x14ac:dyDescent="0.2">
      <c r="A283" s="1143" t="s">
        <v>3065</v>
      </c>
      <c r="B283" s="1146" t="s">
        <v>3075</v>
      </c>
      <c r="C283" s="1146" t="s">
        <v>3068</v>
      </c>
      <c r="D283" s="1145" t="s">
        <v>3071</v>
      </c>
    </row>
    <row r="284" spans="1:4" x14ac:dyDescent="0.2">
      <c r="A284" s="1143" t="s">
        <v>3066</v>
      </c>
      <c r="B284" s="1146" t="s">
        <v>3073</v>
      </c>
      <c r="C284" s="1146" t="s">
        <v>3069</v>
      </c>
      <c r="D284" s="1145" t="s">
        <v>3072</v>
      </c>
    </row>
    <row r="285" spans="1:4" x14ac:dyDescent="0.2">
      <c r="A285" s="1143" t="s">
        <v>3067</v>
      </c>
      <c r="B285" s="1146" t="s">
        <v>3076</v>
      </c>
      <c r="C285" s="1146" t="s">
        <v>3074</v>
      </c>
      <c r="D285" s="1145" t="s">
        <v>3077</v>
      </c>
    </row>
    <row r="286" spans="1:4" x14ac:dyDescent="0.25">
      <c r="A286" s="1144" t="s">
        <v>1952</v>
      </c>
      <c r="B286" s="1144" t="s">
        <v>1836</v>
      </c>
      <c r="C286" s="1144" t="s">
        <v>1955</v>
      </c>
      <c r="D286" s="1145" t="s">
        <v>2684</v>
      </c>
    </row>
    <row r="287" spans="1:4" ht="68.400000000000006" x14ac:dyDescent="0.25">
      <c r="A287" s="1144" t="s">
        <v>1956</v>
      </c>
      <c r="B287" s="1144" t="s">
        <v>1957</v>
      </c>
      <c r="C287" s="1144" t="s">
        <v>1958</v>
      </c>
      <c r="D287" s="1145" t="s">
        <v>2685</v>
      </c>
    </row>
    <row r="288" spans="1:4" ht="79.8" x14ac:dyDescent="0.25">
      <c r="A288" s="1144" t="s">
        <v>1959</v>
      </c>
      <c r="B288" s="1144" t="s">
        <v>1960</v>
      </c>
      <c r="C288" s="1144" t="s">
        <v>1961</v>
      </c>
      <c r="D288" s="1145" t="s">
        <v>2686</v>
      </c>
    </row>
    <row r="289" spans="1:4" ht="79.8" x14ac:dyDescent="0.25">
      <c r="A289" s="1144" t="s">
        <v>1962</v>
      </c>
      <c r="B289" s="1144" t="s">
        <v>1963</v>
      </c>
      <c r="C289" s="1144" t="s">
        <v>1964</v>
      </c>
      <c r="D289" s="1145" t="s">
        <v>2687</v>
      </c>
    </row>
    <row r="290" spans="1:4" ht="68.400000000000006" x14ac:dyDescent="0.25">
      <c r="A290" s="1144" t="s">
        <v>1965</v>
      </c>
      <c r="B290" s="1144" t="s">
        <v>1966</v>
      </c>
      <c r="C290" s="1144" t="s">
        <v>1967</v>
      </c>
      <c r="D290" s="1145" t="s">
        <v>2688</v>
      </c>
    </row>
    <row r="291" spans="1:4" x14ac:dyDescent="0.25">
      <c r="A291" s="1144" t="s">
        <v>1950</v>
      </c>
      <c r="B291" s="1144" t="s">
        <v>1834</v>
      </c>
      <c r="C291" s="1144" t="s">
        <v>1968</v>
      </c>
      <c r="D291" s="1145" t="s">
        <v>2689</v>
      </c>
    </row>
    <row r="292" spans="1:4" ht="91.2" x14ac:dyDescent="0.25">
      <c r="A292" s="1144" t="s">
        <v>1969</v>
      </c>
      <c r="B292" s="1144" t="s">
        <v>1840</v>
      </c>
      <c r="C292" s="1144" t="s">
        <v>1970</v>
      </c>
      <c r="D292" s="1145" t="s">
        <v>2690</v>
      </c>
    </row>
    <row r="293" spans="1:4" ht="102.6" x14ac:dyDescent="0.25">
      <c r="A293" s="1144" t="s">
        <v>1971</v>
      </c>
      <c r="B293" s="1144" t="s">
        <v>1972</v>
      </c>
      <c r="C293" s="1144" t="s">
        <v>1973</v>
      </c>
      <c r="D293" s="1145" t="s">
        <v>2691</v>
      </c>
    </row>
    <row r="294" spans="1:4" ht="68.400000000000006" x14ac:dyDescent="0.25">
      <c r="A294" s="1144" t="s">
        <v>1974</v>
      </c>
      <c r="B294" s="1144" t="s">
        <v>1975</v>
      </c>
      <c r="C294" s="1144" t="s">
        <v>1976</v>
      </c>
      <c r="D294" s="1145" t="s">
        <v>2692</v>
      </c>
    </row>
    <row r="295" spans="1:4" ht="79.8" x14ac:dyDescent="0.25">
      <c r="A295" s="1144" t="s">
        <v>1977</v>
      </c>
      <c r="B295" s="1144" t="s">
        <v>1978</v>
      </c>
      <c r="C295" s="1144" t="s">
        <v>1979</v>
      </c>
      <c r="D295" s="1145" t="s">
        <v>2693</v>
      </c>
    </row>
    <row r="296" spans="1:4" x14ac:dyDescent="0.25">
      <c r="A296" s="1144" t="s">
        <v>1951</v>
      </c>
      <c r="B296" s="1144" t="s">
        <v>1835</v>
      </c>
      <c r="C296" s="1144" t="s">
        <v>1980</v>
      </c>
      <c r="D296" s="1145" t="s">
        <v>2694</v>
      </c>
    </row>
    <row r="297" spans="1:4" ht="91.2" x14ac:dyDescent="0.25">
      <c r="A297" s="1144" t="s">
        <v>1981</v>
      </c>
      <c r="B297" s="1144" t="s">
        <v>1982</v>
      </c>
      <c r="C297" s="1144" t="s">
        <v>1983</v>
      </c>
      <c r="D297" s="1145" t="s">
        <v>2695</v>
      </c>
    </row>
    <row r="298" spans="1:4" ht="79.8" x14ac:dyDescent="0.25">
      <c r="A298" s="1144" t="s">
        <v>1984</v>
      </c>
      <c r="B298" s="1144" t="s">
        <v>1985</v>
      </c>
      <c r="C298" s="1144" t="s">
        <v>1986</v>
      </c>
      <c r="D298" s="1145" t="s">
        <v>2696</v>
      </c>
    </row>
    <row r="299" spans="1:4" ht="68.400000000000006" x14ac:dyDescent="0.25">
      <c r="A299" s="1144" t="s">
        <v>1987</v>
      </c>
      <c r="B299" s="1144" t="s">
        <v>1988</v>
      </c>
      <c r="C299" s="1144" t="s">
        <v>1989</v>
      </c>
      <c r="D299" s="1145" t="s">
        <v>2697</v>
      </c>
    </row>
    <row r="300" spans="1:4" ht="68.400000000000006" x14ac:dyDescent="0.25">
      <c r="A300" s="1144" t="s">
        <v>1990</v>
      </c>
      <c r="B300" s="1144" t="s">
        <v>1991</v>
      </c>
      <c r="C300" s="1144" t="s">
        <v>1992</v>
      </c>
      <c r="D300" s="1145" t="s">
        <v>2698</v>
      </c>
    </row>
    <row r="301" spans="1:4" x14ac:dyDescent="0.25">
      <c r="A301" s="1144" t="s">
        <v>1954</v>
      </c>
      <c r="B301" s="1144" t="s">
        <v>1838</v>
      </c>
      <c r="C301" s="1144" t="s">
        <v>1993</v>
      </c>
      <c r="D301" s="1145" t="s">
        <v>2699</v>
      </c>
    </row>
    <row r="302" spans="1:4" ht="57" x14ac:dyDescent="0.25">
      <c r="A302" s="1144" t="s">
        <v>1994</v>
      </c>
      <c r="B302" s="1144" t="s">
        <v>1995</v>
      </c>
      <c r="C302" s="1144" t="s">
        <v>1996</v>
      </c>
      <c r="D302" s="1145" t="s">
        <v>2700</v>
      </c>
    </row>
    <row r="303" spans="1:4" ht="91.2" x14ac:dyDescent="0.25">
      <c r="A303" s="1144" t="s">
        <v>1997</v>
      </c>
      <c r="B303" s="1144" t="s">
        <v>1998</v>
      </c>
      <c r="C303" s="1144" t="s">
        <v>1999</v>
      </c>
      <c r="D303" s="1145" t="s">
        <v>2701</v>
      </c>
    </row>
    <row r="304" spans="1:4" ht="57" x14ac:dyDescent="0.25">
      <c r="A304" s="1144" t="s">
        <v>2000</v>
      </c>
      <c r="B304" s="1144" t="s">
        <v>2001</v>
      </c>
      <c r="C304" s="1144" t="s">
        <v>2002</v>
      </c>
      <c r="D304" s="1145" t="s">
        <v>2702</v>
      </c>
    </row>
    <row r="305" spans="1:4" ht="68.400000000000006" x14ac:dyDescent="0.25">
      <c r="A305" s="1144" t="s">
        <v>2003</v>
      </c>
      <c r="B305" s="1144" t="s">
        <v>2004</v>
      </c>
      <c r="C305" s="1144" t="s">
        <v>2005</v>
      </c>
      <c r="D305" s="1145" t="s">
        <v>2703</v>
      </c>
    </row>
    <row r="306" spans="1:4" x14ac:dyDescent="0.25">
      <c r="A306" s="1144" t="s">
        <v>1953</v>
      </c>
      <c r="B306" s="1144" t="s">
        <v>1837</v>
      </c>
      <c r="C306" s="1144" t="s">
        <v>2006</v>
      </c>
      <c r="D306" s="1145" t="s">
        <v>2704</v>
      </c>
    </row>
    <row r="307" spans="1:4" ht="57" x14ac:dyDescent="0.25">
      <c r="A307" s="1144" t="s">
        <v>2007</v>
      </c>
      <c r="B307" s="1144" t="s">
        <v>2008</v>
      </c>
      <c r="C307" s="1144" t="s">
        <v>2009</v>
      </c>
      <c r="D307" s="1145" t="s">
        <v>2705</v>
      </c>
    </row>
    <row r="308" spans="1:4" ht="68.400000000000006" x14ac:dyDescent="0.25">
      <c r="A308" s="1144" t="s">
        <v>2010</v>
      </c>
      <c r="B308" s="1144" t="s">
        <v>2011</v>
      </c>
      <c r="C308" s="1144" t="s">
        <v>2012</v>
      </c>
      <c r="D308" s="1145" t="s">
        <v>2706</v>
      </c>
    </row>
    <row r="309" spans="1:4" ht="57" x14ac:dyDescent="0.25">
      <c r="A309" s="1144" t="s">
        <v>2013</v>
      </c>
      <c r="B309" s="1144" t="s">
        <v>2014</v>
      </c>
      <c r="C309" s="1144" t="s">
        <v>2015</v>
      </c>
      <c r="D309" s="1145" t="s">
        <v>2707</v>
      </c>
    </row>
    <row r="310" spans="1:4" ht="57" x14ac:dyDescent="0.25">
      <c r="A310" s="1144" t="s">
        <v>2016</v>
      </c>
      <c r="B310" s="1144" t="s">
        <v>2017</v>
      </c>
      <c r="C310" s="1144" t="s">
        <v>2018</v>
      </c>
      <c r="D310" s="1145" t="s">
        <v>2708</v>
      </c>
    </row>
    <row r="311" spans="1:4" x14ac:dyDescent="0.25">
      <c r="A311" s="960" t="s">
        <v>82</v>
      </c>
      <c r="B311" s="961" t="s">
        <v>1409</v>
      </c>
      <c r="C311" s="961" t="s">
        <v>1766</v>
      </c>
      <c r="D311" s="962" t="s">
        <v>2709</v>
      </c>
    </row>
    <row r="312" spans="1:4" ht="136.80000000000001" x14ac:dyDescent="0.25">
      <c r="A312" s="963" t="s">
        <v>556</v>
      </c>
      <c r="B312" s="964" t="s">
        <v>1459</v>
      </c>
      <c r="C312" s="964" t="s">
        <v>868</v>
      </c>
      <c r="D312" s="965" t="s">
        <v>2710</v>
      </c>
    </row>
    <row r="313" spans="1:4" s="970" customFormat="1" x14ac:dyDescent="0.25">
      <c r="A313" s="960" t="s">
        <v>138</v>
      </c>
      <c r="B313" s="961" t="s">
        <v>557</v>
      </c>
      <c r="C313" s="961" t="s">
        <v>558</v>
      </c>
      <c r="D313" s="962" t="s">
        <v>2711</v>
      </c>
    </row>
    <row r="314" spans="1:4" ht="114" x14ac:dyDescent="0.25">
      <c r="A314" s="963" t="s">
        <v>559</v>
      </c>
      <c r="B314" s="964" t="s">
        <v>560</v>
      </c>
      <c r="C314" s="964" t="s">
        <v>869</v>
      </c>
      <c r="D314" s="965" t="s">
        <v>2712</v>
      </c>
    </row>
    <row r="315" spans="1:4" ht="34.200000000000003" x14ac:dyDescent="0.25">
      <c r="A315" s="963" t="s">
        <v>379</v>
      </c>
      <c r="B315" s="964" t="s">
        <v>1410</v>
      </c>
      <c r="C315" s="964" t="s">
        <v>2230</v>
      </c>
      <c r="D315" s="965" t="s">
        <v>2713</v>
      </c>
    </row>
    <row r="316" spans="1:4" ht="22.8" x14ac:dyDescent="0.25">
      <c r="A316" s="963" t="s">
        <v>380</v>
      </c>
      <c r="B316" s="964" t="s">
        <v>1411</v>
      </c>
      <c r="C316" s="964" t="s">
        <v>663</v>
      </c>
      <c r="D316" s="965" t="s">
        <v>2714</v>
      </c>
    </row>
    <row r="317" spans="1:4" ht="34.200000000000003" x14ac:dyDescent="0.25">
      <c r="A317" s="963" t="s">
        <v>381</v>
      </c>
      <c r="B317" s="964" t="s">
        <v>870</v>
      </c>
      <c r="C317" s="964" t="s">
        <v>1771</v>
      </c>
      <c r="D317" s="965" t="s">
        <v>2715</v>
      </c>
    </row>
    <row r="318" spans="1:4" ht="34.200000000000003" x14ac:dyDescent="0.25">
      <c r="A318" s="963" t="s">
        <v>382</v>
      </c>
      <c r="B318" s="964" t="s">
        <v>1412</v>
      </c>
      <c r="C318" s="964" t="s">
        <v>2352</v>
      </c>
      <c r="D318" s="965" t="s">
        <v>2716</v>
      </c>
    </row>
    <row r="319" spans="1:4" ht="22.8" x14ac:dyDescent="0.25">
      <c r="A319" s="963" t="s">
        <v>383</v>
      </c>
      <c r="B319" s="964" t="s">
        <v>561</v>
      </c>
      <c r="C319" s="964" t="s">
        <v>2353</v>
      </c>
      <c r="D319" s="965" t="s">
        <v>2717</v>
      </c>
    </row>
    <row r="320" spans="1:4" ht="22.8" x14ac:dyDescent="0.25">
      <c r="A320" s="963" t="s">
        <v>384</v>
      </c>
      <c r="B320" s="964" t="s">
        <v>1413</v>
      </c>
      <c r="C320" s="964" t="s">
        <v>1772</v>
      </c>
      <c r="D320" s="965" t="s">
        <v>2718</v>
      </c>
    </row>
    <row r="321" spans="1:4" ht="57" x14ac:dyDescent="0.25">
      <c r="A321" s="963" t="s">
        <v>385</v>
      </c>
      <c r="B321" s="964" t="s">
        <v>1414</v>
      </c>
      <c r="C321" s="964" t="s">
        <v>2231</v>
      </c>
      <c r="D321" s="965" t="s">
        <v>2719</v>
      </c>
    </row>
    <row r="322" spans="1:4" ht="34.200000000000003" x14ac:dyDescent="0.25">
      <c r="A322" s="963" t="s">
        <v>386</v>
      </c>
      <c r="B322" s="964" t="s">
        <v>1415</v>
      </c>
      <c r="C322" s="964" t="s">
        <v>1682</v>
      </c>
      <c r="D322" s="965" t="s">
        <v>2720</v>
      </c>
    </row>
    <row r="323" spans="1:4" x14ac:dyDescent="0.25">
      <c r="A323" s="960" t="s">
        <v>141</v>
      </c>
      <c r="B323" s="961" t="s">
        <v>562</v>
      </c>
      <c r="C323" s="961" t="s">
        <v>794</v>
      </c>
      <c r="D323" s="962" t="s">
        <v>2721</v>
      </c>
    </row>
    <row r="324" spans="1:4" ht="91.2" x14ac:dyDescent="0.25">
      <c r="A324" s="963" t="s">
        <v>563</v>
      </c>
      <c r="B324" s="964" t="s">
        <v>564</v>
      </c>
      <c r="C324" s="964" t="s">
        <v>795</v>
      </c>
      <c r="D324" s="965" t="s">
        <v>2722</v>
      </c>
    </row>
    <row r="325" spans="1:4" ht="34.200000000000003" x14ac:dyDescent="0.25">
      <c r="A325" s="963" t="s">
        <v>387</v>
      </c>
      <c r="B325" s="964" t="s">
        <v>565</v>
      </c>
      <c r="C325" s="964" t="s">
        <v>2232</v>
      </c>
      <c r="D325" s="965" t="s">
        <v>2723</v>
      </c>
    </row>
    <row r="326" spans="1:4" ht="22.8" x14ac:dyDescent="0.25">
      <c r="A326" s="963" t="s">
        <v>388</v>
      </c>
      <c r="B326" s="964" t="s">
        <v>1416</v>
      </c>
      <c r="C326" s="964" t="s">
        <v>2233</v>
      </c>
      <c r="D326" s="965" t="s">
        <v>2724</v>
      </c>
    </row>
    <row r="327" spans="1:4" ht="22.8" x14ac:dyDescent="0.25">
      <c r="A327" s="963" t="s">
        <v>389</v>
      </c>
      <c r="B327" s="964" t="s">
        <v>566</v>
      </c>
      <c r="C327" s="964" t="s">
        <v>1773</v>
      </c>
      <c r="D327" s="965" t="s">
        <v>2725</v>
      </c>
    </row>
    <row r="328" spans="1:4" ht="34.200000000000003" x14ac:dyDescent="0.25">
      <c r="A328" s="963" t="s">
        <v>390</v>
      </c>
      <c r="B328" s="964" t="s">
        <v>567</v>
      </c>
      <c r="C328" s="964" t="s">
        <v>1774</v>
      </c>
      <c r="D328" s="965" t="s">
        <v>2726</v>
      </c>
    </row>
    <row r="329" spans="1:4" s="970" customFormat="1" ht="22.8" x14ac:dyDescent="0.25">
      <c r="A329" s="963" t="s">
        <v>391</v>
      </c>
      <c r="B329" s="964" t="s">
        <v>1417</v>
      </c>
      <c r="C329" s="964" t="s">
        <v>1775</v>
      </c>
      <c r="D329" s="965" t="s">
        <v>2727</v>
      </c>
    </row>
    <row r="330" spans="1:4" ht="34.200000000000003" x14ac:dyDescent="0.25">
      <c r="A330" s="963" t="s">
        <v>392</v>
      </c>
      <c r="B330" s="961" t="s">
        <v>568</v>
      </c>
      <c r="C330" s="964" t="s">
        <v>1683</v>
      </c>
      <c r="D330" s="965" t="s">
        <v>2728</v>
      </c>
    </row>
    <row r="331" spans="1:4" ht="22.8" x14ac:dyDescent="0.25">
      <c r="A331" s="963" t="s">
        <v>393</v>
      </c>
      <c r="B331" s="964" t="s">
        <v>1418</v>
      </c>
      <c r="C331" s="964" t="s">
        <v>1776</v>
      </c>
      <c r="D331" s="965" t="s">
        <v>2729</v>
      </c>
    </row>
    <row r="332" spans="1:4" ht="22.8" x14ac:dyDescent="0.25">
      <c r="A332" s="963" t="s">
        <v>394</v>
      </c>
      <c r="B332" s="964" t="s">
        <v>569</v>
      </c>
      <c r="C332" s="964" t="s">
        <v>1777</v>
      </c>
      <c r="D332" s="965" t="s">
        <v>2730</v>
      </c>
    </row>
    <row r="333" spans="1:4" ht="34.200000000000003" x14ac:dyDescent="0.25">
      <c r="A333" s="963" t="s">
        <v>395</v>
      </c>
      <c r="B333" s="964" t="s">
        <v>1419</v>
      </c>
      <c r="C333" s="964" t="s">
        <v>1778</v>
      </c>
      <c r="D333" s="965" t="s">
        <v>2731</v>
      </c>
    </row>
    <row r="334" spans="1:4" ht="45.6" x14ac:dyDescent="0.25">
      <c r="A334" s="963" t="s">
        <v>396</v>
      </c>
      <c r="B334" s="964" t="s">
        <v>1420</v>
      </c>
      <c r="C334" s="964" t="s">
        <v>1779</v>
      </c>
      <c r="D334" s="965" t="s">
        <v>2732</v>
      </c>
    </row>
    <row r="335" spans="1:4" ht="22.8" x14ac:dyDescent="0.25">
      <c r="A335" s="963" t="s">
        <v>397</v>
      </c>
      <c r="B335" s="964" t="s">
        <v>1421</v>
      </c>
      <c r="C335" s="964" t="s">
        <v>1780</v>
      </c>
      <c r="D335" s="965" t="s">
        <v>2733</v>
      </c>
    </row>
    <row r="336" spans="1:4" ht="45.6" x14ac:dyDescent="0.25">
      <c r="A336" s="963" t="s">
        <v>398</v>
      </c>
      <c r="B336" s="964" t="s">
        <v>570</v>
      </c>
      <c r="C336" s="964" t="s">
        <v>1684</v>
      </c>
      <c r="D336" s="965" t="s">
        <v>2734</v>
      </c>
    </row>
    <row r="337" spans="1:4" s="970" customFormat="1" x14ac:dyDescent="0.25">
      <c r="A337" s="960" t="s">
        <v>144</v>
      </c>
      <c r="B337" s="961" t="s">
        <v>454</v>
      </c>
      <c r="C337" s="961" t="s">
        <v>790</v>
      </c>
      <c r="D337" s="962" t="s">
        <v>2464</v>
      </c>
    </row>
    <row r="338" spans="1:4" ht="68.400000000000006" x14ac:dyDescent="0.25">
      <c r="A338" s="963" t="s">
        <v>572</v>
      </c>
      <c r="B338" s="964" t="s">
        <v>456</v>
      </c>
      <c r="C338" s="964" t="s">
        <v>921</v>
      </c>
      <c r="D338" s="965" t="s">
        <v>2465</v>
      </c>
    </row>
    <row r="339" spans="1:4" ht="22.8" x14ac:dyDescent="0.25">
      <c r="A339" s="963" t="s">
        <v>399</v>
      </c>
      <c r="B339" s="964" t="s">
        <v>1422</v>
      </c>
      <c r="C339" s="964" t="s">
        <v>1685</v>
      </c>
      <c r="D339" s="965" t="s">
        <v>2735</v>
      </c>
    </row>
    <row r="340" spans="1:4" ht="22.8" x14ac:dyDescent="0.25">
      <c r="A340" s="963" t="s">
        <v>400</v>
      </c>
      <c r="B340" s="964" t="s">
        <v>793</v>
      </c>
      <c r="C340" s="964" t="s">
        <v>1686</v>
      </c>
      <c r="D340" s="965" t="s">
        <v>2736</v>
      </c>
    </row>
    <row r="341" spans="1:4" ht="34.200000000000003" x14ac:dyDescent="0.25">
      <c r="A341" s="963" t="s">
        <v>401</v>
      </c>
      <c r="B341" s="964" t="s">
        <v>1423</v>
      </c>
      <c r="C341" s="964" t="s">
        <v>2345</v>
      </c>
      <c r="D341" s="965" t="s">
        <v>2737</v>
      </c>
    </row>
    <row r="342" spans="1:4" ht="22.8" x14ac:dyDescent="0.25">
      <c r="A342" s="963" t="s">
        <v>402</v>
      </c>
      <c r="B342" s="964" t="s">
        <v>577</v>
      </c>
      <c r="C342" s="964" t="s">
        <v>1687</v>
      </c>
      <c r="D342" s="965" t="s">
        <v>2738</v>
      </c>
    </row>
    <row r="343" spans="1:4" ht="34.200000000000003" x14ac:dyDescent="0.25">
      <c r="A343" s="963" t="s">
        <v>403</v>
      </c>
      <c r="B343" s="964" t="s">
        <v>1424</v>
      </c>
      <c r="C343" s="964" t="s">
        <v>1688</v>
      </c>
      <c r="D343" s="965" t="s">
        <v>2739</v>
      </c>
    </row>
    <row r="344" spans="1:4" s="970" customFormat="1" ht="22.8" x14ac:dyDescent="0.25">
      <c r="A344" s="963" t="s">
        <v>404</v>
      </c>
      <c r="B344" s="964" t="s">
        <v>1425</v>
      </c>
      <c r="C344" s="964" t="s">
        <v>1689</v>
      </c>
      <c r="D344" s="965" t="s">
        <v>2740</v>
      </c>
    </row>
    <row r="345" spans="1:4" ht="22.8" x14ac:dyDescent="0.25">
      <c r="A345" s="960" t="s">
        <v>71</v>
      </c>
      <c r="B345" s="961" t="s">
        <v>1284</v>
      </c>
      <c r="C345" s="961" t="s">
        <v>1762</v>
      </c>
      <c r="D345" s="962" t="s">
        <v>2741</v>
      </c>
    </row>
    <row r="346" spans="1:4" ht="136.80000000000001" x14ac:dyDescent="0.25">
      <c r="A346" s="963" t="s">
        <v>612</v>
      </c>
      <c r="B346" s="964" t="s">
        <v>1460</v>
      </c>
      <c r="C346" s="964" t="s">
        <v>862</v>
      </c>
      <c r="D346" s="965" t="s">
        <v>2742</v>
      </c>
    </row>
    <row r="347" spans="1:4" x14ac:dyDescent="0.25">
      <c r="A347" s="960" t="s">
        <v>93</v>
      </c>
      <c r="B347" s="961" t="s">
        <v>613</v>
      </c>
      <c r="C347" s="961" t="s">
        <v>1497</v>
      </c>
      <c r="D347" s="962" t="s">
        <v>2743</v>
      </c>
    </row>
    <row r="348" spans="1:4" ht="114" x14ac:dyDescent="0.25">
      <c r="A348" s="963" t="s">
        <v>614</v>
      </c>
      <c r="B348" s="964" t="s">
        <v>1461</v>
      </c>
      <c r="C348" s="964" t="s">
        <v>863</v>
      </c>
      <c r="D348" s="965" t="s">
        <v>2744</v>
      </c>
    </row>
    <row r="349" spans="1:4" ht="34.200000000000003" x14ac:dyDescent="0.25">
      <c r="A349" s="963" t="s">
        <v>253</v>
      </c>
      <c r="B349" s="964" t="s">
        <v>615</v>
      </c>
      <c r="C349" s="964" t="s">
        <v>2234</v>
      </c>
      <c r="D349" s="965" t="s">
        <v>2745</v>
      </c>
    </row>
    <row r="350" spans="1:4" ht="45.6" x14ac:dyDescent="0.25">
      <c r="A350" s="963" t="s">
        <v>254</v>
      </c>
      <c r="B350" s="964" t="s">
        <v>1285</v>
      </c>
      <c r="C350" s="964" t="s">
        <v>1596</v>
      </c>
      <c r="D350" s="965" t="s">
        <v>2746</v>
      </c>
    </row>
    <row r="351" spans="1:4" x14ac:dyDescent="0.25">
      <c r="A351" s="963" t="s">
        <v>255</v>
      </c>
      <c r="B351" s="964" t="s">
        <v>1286</v>
      </c>
      <c r="C351" s="964" t="s">
        <v>1597</v>
      </c>
      <c r="D351" s="965" t="s">
        <v>2747</v>
      </c>
    </row>
    <row r="352" spans="1:4" ht="34.200000000000003" x14ac:dyDescent="0.25">
      <c r="A352" s="964" t="s">
        <v>256</v>
      </c>
      <c r="B352" s="964" t="s">
        <v>616</v>
      </c>
      <c r="C352" s="964" t="s">
        <v>1598</v>
      </c>
      <c r="D352" s="965" t="s">
        <v>2748</v>
      </c>
    </row>
    <row r="353" spans="1:4" s="970" customFormat="1" ht="34.200000000000003" x14ac:dyDescent="0.25">
      <c r="A353" s="964" t="s">
        <v>257</v>
      </c>
      <c r="B353" s="964" t="s">
        <v>1287</v>
      </c>
      <c r="C353" s="964" t="s">
        <v>1599</v>
      </c>
      <c r="D353" s="965" t="s">
        <v>2749</v>
      </c>
    </row>
    <row r="354" spans="1:4" s="970" customFormat="1" ht="22.8" x14ac:dyDescent="0.25">
      <c r="A354" s="964" t="s">
        <v>258</v>
      </c>
      <c r="B354" s="964" t="s">
        <v>1288</v>
      </c>
      <c r="C354" s="964" t="s">
        <v>1600</v>
      </c>
      <c r="D354" s="965" t="s">
        <v>2750</v>
      </c>
    </row>
    <row r="355" spans="1:4" x14ac:dyDescent="0.25">
      <c r="A355" s="961" t="s">
        <v>95</v>
      </c>
      <c r="B355" s="961" t="s">
        <v>617</v>
      </c>
      <c r="C355" s="961" t="s">
        <v>1498</v>
      </c>
      <c r="D355" s="962" t="s">
        <v>2751</v>
      </c>
    </row>
    <row r="356" spans="1:4" ht="102.6" x14ac:dyDescent="0.25">
      <c r="A356" s="964" t="s">
        <v>618</v>
      </c>
      <c r="B356" s="964" t="s">
        <v>619</v>
      </c>
      <c r="C356" s="964" t="s">
        <v>2354</v>
      </c>
      <c r="D356" s="965" t="s">
        <v>2752</v>
      </c>
    </row>
    <row r="357" spans="1:4" ht="22.8" x14ac:dyDescent="0.25">
      <c r="A357" s="964" t="s">
        <v>259</v>
      </c>
      <c r="B357" s="964" t="s">
        <v>620</v>
      </c>
      <c r="C357" s="964" t="s">
        <v>2235</v>
      </c>
      <c r="D357" s="965" t="s">
        <v>2753</v>
      </c>
    </row>
    <row r="358" spans="1:4" ht="34.200000000000003" x14ac:dyDescent="0.25">
      <c r="A358" s="964" t="s">
        <v>260</v>
      </c>
      <c r="B358" s="964" t="s">
        <v>621</v>
      </c>
      <c r="C358" s="964" t="s">
        <v>2355</v>
      </c>
      <c r="D358" s="965" t="s">
        <v>2754</v>
      </c>
    </row>
    <row r="359" spans="1:4" ht="34.200000000000003" x14ac:dyDescent="0.25">
      <c r="A359" s="964" t="s">
        <v>261</v>
      </c>
      <c r="B359" s="964" t="s">
        <v>1289</v>
      </c>
      <c r="C359" s="964" t="s">
        <v>1601</v>
      </c>
      <c r="D359" s="965" t="s">
        <v>2755</v>
      </c>
    </row>
    <row r="360" spans="1:4" ht="22.8" x14ac:dyDescent="0.25">
      <c r="A360" s="964" t="s">
        <v>262</v>
      </c>
      <c r="B360" s="964" t="s">
        <v>1290</v>
      </c>
      <c r="C360" s="964" t="s">
        <v>1602</v>
      </c>
      <c r="D360" s="965" t="s">
        <v>2756</v>
      </c>
    </row>
    <row r="361" spans="1:4" s="970" customFormat="1" ht="45.6" x14ac:dyDescent="0.25">
      <c r="A361" s="964" t="s">
        <v>263</v>
      </c>
      <c r="B361" s="964" t="s">
        <v>1291</v>
      </c>
      <c r="C361" s="964" t="s">
        <v>1603</v>
      </c>
      <c r="D361" s="965" t="s">
        <v>2757</v>
      </c>
    </row>
    <row r="362" spans="1:4" ht="22.8" x14ac:dyDescent="0.25">
      <c r="A362" s="964" t="s">
        <v>264</v>
      </c>
      <c r="B362" s="964" t="s">
        <v>1292</v>
      </c>
      <c r="C362" s="964" t="s">
        <v>1604</v>
      </c>
      <c r="D362" s="965" t="s">
        <v>2758</v>
      </c>
    </row>
    <row r="363" spans="1:4" ht="68.400000000000006" x14ac:dyDescent="0.25">
      <c r="A363" s="964" t="s">
        <v>265</v>
      </c>
      <c r="B363" s="964" t="s">
        <v>1293</v>
      </c>
      <c r="C363" s="964" t="s">
        <v>1605</v>
      </c>
      <c r="D363" s="965" t="s">
        <v>2759</v>
      </c>
    </row>
    <row r="364" spans="1:4" ht="22.8" x14ac:dyDescent="0.25">
      <c r="A364" s="964" t="s">
        <v>266</v>
      </c>
      <c r="B364" s="964" t="s">
        <v>1294</v>
      </c>
      <c r="C364" s="964" t="s">
        <v>2356</v>
      </c>
      <c r="D364" s="965" t="s">
        <v>2760</v>
      </c>
    </row>
    <row r="365" spans="1:4" ht="22.8" x14ac:dyDescent="0.25">
      <c r="A365" s="964" t="s">
        <v>267</v>
      </c>
      <c r="B365" s="964" t="s">
        <v>622</v>
      </c>
      <c r="C365" s="964" t="s">
        <v>1606</v>
      </c>
      <c r="D365" s="965" t="s">
        <v>2761</v>
      </c>
    </row>
    <row r="366" spans="1:4" x14ac:dyDescent="0.25">
      <c r="A366" s="961" t="s">
        <v>97</v>
      </c>
      <c r="B366" s="961" t="s">
        <v>623</v>
      </c>
      <c r="C366" s="961" t="s">
        <v>1499</v>
      </c>
      <c r="D366" s="962" t="s">
        <v>2762</v>
      </c>
    </row>
    <row r="367" spans="1:4" ht="91.2" x14ac:dyDescent="0.25">
      <c r="A367" s="964" t="s">
        <v>624</v>
      </c>
      <c r="B367" s="964" t="s">
        <v>1462</v>
      </c>
      <c r="C367" s="964" t="s">
        <v>864</v>
      </c>
      <c r="D367" s="965" t="s">
        <v>2763</v>
      </c>
    </row>
    <row r="368" spans="1:4" ht="34.200000000000003" x14ac:dyDescent="0.25">
      <c r="A368" s="964" t="s">
        <v>268</v>
      </c>
      <c r="B368" s="964" t="s">
        <v>625</v>
      </c>
      <c r="C368" s="964" t="s">
        <v>2236</v>
      </c>
      <c r="D368" s="965" t="s">
        <v>2764</v>
      </c>
    </row>
    <row r="369" spans="1:4" ht="34.200000000000003" x14ac:dyDescent="0.25">
      <c r="A369" s="964" t="s">
        <v>269</v>
      </c>
      <c r="B369" s="964" t="s">
        <v>626</v>
      </c>
      <c r="C369" s="964" t="s">
        <v>2237</v>
      </c>
      <c r="D369" s="965" t="s">
        <v>2765</v>
      </c>
    </row>
    <row r="370" spans="1:4" ht="34.200000000000003" x14ac:dyDescent="0.25">
      <c r="A370" s="964" t="s">
        <v>270</v>
      </c>
      <c r="B370" s="964" t="s">
        <v>1295</v>
      </c>
      <c r="C370" s="964" t="s">
        <v>2238</v>
      </c>
      <c r="D370" s="965" t="s">
        <v>2766</v>
      </c>
    </row>
    <row r="371" spans="1:4" ht="22.8" x14ac:dyDescent="0.25">
      <c r="A371" s="964" t="s">
        <v>271</v>
      </c>
      <c r="B371" s="964" t="s">
        <v>1296</v>
      </c>
      <c r="C371" s="964" t="s">
        <v>1949</v>
      </c>
      <c r="D371" s="965" t="s">
        <v>2767</v>
      </c>
    </row>
    <row r="372" spans="1:4" ht="22.8" x14ac:dyDescent="0.25">
      <c r="A372" s="964" t="s">
        <v>272</v>
      </c>
      <c r="B372" s="964" t="s">
        <v>627</v>
      </c>
      <c r="C372" s="964" t="s">
        <v>1607</v>
      </c>
      <c r="D372" s="965" t="s">
        <v>2768</v>
      </c>
    </row>
    <row r="373" spans="1:4" s="970" customFormat="1" ht="34.200000000000003" x14ac:dyDescent="0.25">
      <c r="A373" s="964" t="s">
        <v>273</v>
      </c>
      <c r="B373" s="964" t="s">
        <v>1297</v>
      </c>
      <c r="C373" s="964" t="s">
        <v>2239</v>
      </c>
      <c r="D373" s="965" t="s">
        <v>2769</v>
      </c>
    </row>
    <row r="374" spans="1:4" ht="34.200000000000003" x14ac:dyDescent="0.25">
      <c r="A374" s="964" t="s">
        <v>274</v>
      </c>
      <c r="B374" s="964" t="s">
        <v>1298</v>
      </c>
      <c r="C374" s="964" t="s">
        <v>2357</v>
      </c>
      <c r="D374" s="965" t="s">
        <v>2770</v>
      </c>
    </row>
    <row r="375" spans="1:4" ht="34.200000000000003" x14ac:dyDescent="0.2">
      <c r="A375" s="964" t="s">
        <v>275</v>
      </c>
      <c r="B375" s="966" t="s">
        <v>1299</v>
      </c>
      <c r="C375" s="964" t="s">
        <v>2358</v>
      </c>
      <c r="D375" s="965" t="s">
        <v>2771</v>
      </c>
    </row>
    <row r="376" spans="1:4" ht="34.200000000000003" x14ac:dyDescent="0.2">
      <c r="A376" s="964" t="s">
        <v>276</v>
      </c>
      <c r="B376" s="966" t="s">
        <v>1300</v>
      </c>
      <c r="C376" s="964" t="s">
        <v>1608</v>
      </c>
      <c r="D376" s="965" t="s">
        <v>2772</v>
      </c>
    </row>
    <row r="377" spans="1:4" ht="34.200000000000003" x14ac:dyDescent="0.2">
      <c r="A377" s="964" t="s">
        <v>278</v>
      </c>
      <c r="B377" s="966" t="s">
        <v>1301</v>
      </c>
      <c r="C377" s="964" t="s">
        <v>1781</v>
      </c>
      <c r="D377" s="965" t="s">
        <v>2773</v>
      </c>
    </row>
    <row r="378" spans="1:4" ht="22.8" x14ac:dyDescent="0.2">
      <c r="A378" s="964" t="s">
        <v>1060</v>
      </c>
      <c r="B378" s="966" t="s">
        <v>628</v>
      </c>
      <c r="C378" s="964" t="s">
        <v>1609</v>
      </c>
      <c r="D378" s="965" t="s">
        <v>2774</v>
      </c>
    </row>
    <row r="379" spans="1:4" x14ac:dyDescent="0.2">
      <c r="A379" s="961" t="s">
        <v>99</v>
      </c>
      <c r="B379" s="967" t="s">
        <v>571</v>
      </c>
      <c r="C379" s="961" t="s">
        <v>1500</v>
      </c>
      <c r="D379" s="962" t="s">
        <v>2775</v>
      </c>
    </row>
    <row r="380" spans="1:4" ht="79.8" x14ac:dyDescent="0.2">
      <c r="A380" s="964" t="s">
        <v>629</v>
      </c>
      <c r="B380" s="966" t="s">
        <v>1463</v>
      </c>
      <c r="C380" s="964" t="s">
        <v>921</v>
      </c>
      <c r="D380" s="965" t="s">
        <v>2776</v>
      </c>
    </row>
    <row r="381" spans="1:4" ht="45.6" x14ac:dyDescent="0.2">
      <c r="A381" s="964" t="s">
        <v>280</v>
      </c>
      <c r="B381" s="966" t="s">
        <v>1302</v>
      </c>
      <c r="C381" s="964" t="s">
        <v>2240</v>
      </c>
      <c r="D381" s="965" t="s">
        <v>2777</v>
      </c>
    </row>
    <row r="382" spans="1:4" s="973" customFormat="1" ht="22.8" x14ac:dyDescent="0.2">
      <c r="A382" s="964" t="s">
        <v>281</v>
      </c>
      <c r="B382" s="966" t="s">
        <v>1303</v>
      </c>
      <c r="C382" s="964" t="s">
        <v>2241</v>
      </c>
      <c r="D382" s="965" t="s">
        <v>2778</v>
      </c>
    </row>
    <row r="383" spans="1:4" s="970" customFormat="1" ht="34.200000000000003" x14ac:dyDescent="0.2">
      <c r="A383" s="964" t="s">
        <v>282</v>
      </c>
      <c r="B383" s="966" t="s">
        <v>1304</v>
      </c>
      <c r="C383" s="964" t="s">
        <v>2242</v>
      </c>
      <c r="D383" s="965" t="s">
        <v>2779</v>
      </c>
    </row>
    <row r="384" spans="1:4" ht="22.8" x14ac:dyDescent="0.2">
      <c r="A384" s="964" t="s">
        <v>283</v>
      </c>
      <c r="B384" s="966" t="s">
        <v>1305</v>
      </c>
      <c r="C384" s="964" t="s">
        <v>1610</v>
      </c>
      <c r="D384" s="965" t="s">
        <v>2780</v>
      </c>
    </row>
    <row r="385" spans="1:4" ht="34.200000000000003" x14ac:dyDescent="0.2">
      <c r="A385" s="964" t="s">
        <v>284</v>
      </c>
      <c r="B385" s="966" t="s">
        <v>573</v>
      </c>
      <c r="C385" s="964" t="s">
        <v>1611</v>
      </c>
      <c r="D385" s="965" t="s">
        <v>2781</v>
      </c>
    </row>
    <row r="386" spans="1:4" ht="57" x14ac:dyDescent="0.2">
      <c r="A386" s="964" t="s">
        <v>285</v>
      </c>
      <c r="B386" s="966" t="s">
        <v>1306</v>
      </c>
      <c r="C386" s="964" t="s">
        <v>2359</v>
      </c>
      <c r="D386" s="965" t="s">
        <v>2782</v>
      </c>
    </row>
    <row r="387" spans="1:4" ht="34.200000000000003" x14ac:dyDescent="0.2">
      <c r="A387" s="968" t="s">
        <v>286</v>
      </c>
      <c r="B387" s="966" t="s">
        <v>1307</v>
      </c>
      <c r="C387" s="964" t="s">
        <v>1612</v>
      </c>
      <c r="D387" s="965" t="s">
        <v>2783</v>
      </c>
    </row>
    <row r="388" spans="1:4" ht="22.8" x14ac:dyDescent="0.2">
      <c r="A388" s="968" t="s">
        <v>1061</v>
      </c>
      <c r="B388" s="964" t="s">
        <v>1308</v>
      </c>
      <c r="C388" s="964" t="s">
        <v>1613</v>
      </c>
      <c r="D388" s="965" t="s">
        <v>2784</v>
      </c>
    </row>
    <row r="389" spans="1:4" ht="22.8" x14ac:dyDescent="0.2">
      <c r="A389" s="968" t="s">
        <v>1062</v>
      </c>
      <c r="B389" s="966" t="s">
        <v>1309</v>
      </c>
      <c r="C389" s="964" t="s">
        <v>1614</v>
      </c>
      <c r="D389" s="965" t="s">
        <v>2785</v>
      </c>
    </row>
    <row r="390" spans="1:4" s="970" customFormat="1" ht="22.8" x14ac:dyDescent="0.2">
      <c r="A390" s="968" t="s">
        <v>1063</v>
      </c>
      <c r="B390" s="966" t="s">
        <v>1310</v>
      </c>
      <c r="C390" s="964" t="s">
        <v>1782</v>
      </c>
      <c r="D390" s="965" t="s">
        <v>2786</v>
      </c>
    </row>
    <row r="391" spans="1:4" ht="45.6" x14ac:dyDescent="0.2">
      <c r="A391" s="968" t="s">
        <v>1064</v>
      </c>
      <c r="B391" s="966" t="s">
        <v>1311</v>
      </c>
      <c r="C391" s="964" t="s">
        <v>1615</v>
      </c>
      <c r="D391" s="965" t="s">
        <v>2787</v>
      </c>
    </row>
    <row r="392" spans="1:4" ht="45.6" x14ac:dyDescent="0.2">
      <c r="A392" s="968" t="s">
        <v>1065</v>
      </c>
      <c r="B392" s="966" t="s">
        <v>1312</v>
      </c>
      <c r="C392" s="964" t="s">
        <v>1616</v>
      </c>
      <c r="D392" s="965" t="s">
        <v>2788</v>
      </c>
    </row>
    <row r="393" spans="1:4" ht="34.200000000000003" x14ac:dyDescent="0.2">
      <c r="A393" s="968" t="s">
        <v>1066</v>
      </c>
      <c r="B393" s="966" t="s">
        <v>1313</v>
      </c>
      <c r="C393" s="964" t="s">
        <v>2360</v>
      </c>
      <c r="D393" s="965" t="s">
        <v>2789</v>
      </c>
    </row>
    <row r="394" spans="1:4" ht="22.8" x14ac:dyDescent="0.2">
      <c r="A394" s="968" t="s">
        <v>1067</v>
      </c>
      <c r="B394" s="966" t="s">
        <v>1314</v>
      </c>
      <c r="C394" s="964" t="s">
        <v>1617</v>
      </c>
      <c r="D394" s="965" t="s">
        <v>2790</v>
      </c>
    </row>
    <row r="395" spans="1:4" ht="34.200000000000003" x14ac:dyDescent="0.2">
      <c r="A395" s="968" t="s">
        <v>1068</v>
      </c>
      <c r="B395" s="966" t="s">
        <v>574</v>
      </c>
      <c r="C395" s="964" t="s">
        <v>1618</v>
      </c>
      <c r="D395" s="965" t="s">
        <v>2791</v>
      </c>
    </row>
    <row r="396" spans="1:4" ht="22.8" x14ac:dyDescent="0.2">
      <c r="A396" s="968" t="s">
        <v>1069</v>
      </c>
      <c r="B396" s="966" t="s">
        <v>575</v>
      </c>
      <c r="C396" s="964" t="s">
        <v>1619</v>
      </c>
      <c r="D396" s="965" t="s">
        <v>2792</v>
      </c>
    </row>
    <row r="397" spans="1:4" x14ac:dyDescent="0.2">
      <c r="A397" s="968" t="s">
        <v>1070</v>
      </c>
      <c r="B397" s="966" t="s">
        <v>576</v>
      </c>
      <c r="C397" s="964" t="s">
        <v>1620</v>
      </c>
      <c r="D397" s="965" t="s">
        <v>2793</v>
      </c>
    </row>
    <row r="398" spans="1:4" x14ac:dyDescent="0.2">
      <c r="A398" s="969" t="s">
        <v>1112</v>
      </c>
      <c r="B398" s="967" t="s">
        <v>454</v>
      </c>
      <c r="C398" s="961" t="s">
        <v>790</v>
      </c>
      <c r="D398" s="962" t="s">
        <v>2464</v>
      </c>
    </row>
    <row r="399" spans="1:4" ht="68.400000000000006" x14ac:dyDescent="0.2">
      <c r="A399" s="968" t="s">
        <v>1451</v>
      </c>
      <c r="B399" s="964" t="s">
        <v>456</v>
      </c>
      <c r="C399" s="964" t="s">
        <v>921</v>
      </c>
      <c r="D399" s="965" t="s">
        <v>2465</v>
      </c>
    </row>
    <row r="400" spans="1:4" ht="22.8" x14ac:dyDescent="0.2">
      <c r="A400" s="968" t="s">
        <v>1071</v>
      </c>
      <c r="B400" s="966" t="s">
        <v>1315</v>
      </c>
      <c r="C400" s="964" t="s">
        <v>1621</v>
      </c>
      <c r="D400" s="965" t="s">
        <v>2794</v>
      </c>
    </row>
    <row r="401" spans="1:4" ht="22.8" x14ac:dyDescent="0.2">
      <c r="A401" s="968" t="s">
        <v>1072</v>
      </c>
      <c r="B401" s="966" t="s">
        <v>630</v>
      </c>
      <c r="C401" s="964" t="s">
        <v>1622</v>
      </c>
      <c r="D401" s="965" t="s">
        <v>2795</v>
      </c>
    </row>
    <row r="402" spans="1:4" ht="34.200000000000003" x14ac:dyDescent="0.2">
      <c r="A402" s="968" t="s">
        <v>1073</v>
      </c>
      <c r="B402" s="966" t="s">
        <v>1316</v>
      </c>
      <c r="C402" s="964" t="s">
        <v>2346</v>
      </c>
      <c r="D402" s="965" t="s">
        <v>2796</v>
      </c>
    </row>
    <row r="403" spans="1:4" ht="22.8" x14ac:dyDescent="0.2">
      <c r="A403" s="968" t="s">
        <v>1074</v>
      </c>
      <c r="B403" s="966" t="s">
        <v>631</v>
      </c>
      <c r="C403" s="964" t="s">
        <v>1623</v>
      </c>
      <c r="D403" s="965" t="s">
        <v>2797</v>
      </c>
    </row>
    <row r="404" spans="1:4" ht="34.200000000000003" x14ac:dyDescent="0.2">
      <c r="A404" s="968" t="s">
        <v>1075</v>
      </c>
      <c r="B404" s="966" t="s">
        <v>1317</v>
      </c>
      <c r="C404" s="964" t="s">
        <v>1624</v>
      </c>
      <c r="D404" s="965" t="s">
        <v>2798</v>
      </c>
    </row>
    <row r="405" spans="1:4" ht="22.8" x14ac:dyDescent="0.2">
      <c r="A405" s="968" t="s">
        <v>1076</v>
      </c>
      <c r="B405" s="966" t="s">
        <v>1318</v>
      </c>
      <c r="C405" s="964" t="s">
        <v>1625</v>
      </c>
      <c r="D405" s="965" t="s">
        <v>2799</v>
      </c>
    </row>
    <row r="406" spans="1:4" x14ac:dyDescent="0.25">
      <c r="A406" s="960" t="s">
        <v>0</v>
      </c>
      <c r="B406" s="961" t="s">
        <v>1199</v>
      </c>
      <c r="C406" s="961" t="s">
        <v>1763</v>
      </c>
      <c r="D406" s="962" t="s">
        <v>2800</v>
      </c>
    </row>
    <row r="407" spans="1:4" ht="125.4" x14ac:dyDescent="0.25">
      <c r="A407" s="963" t="s">
        <v>451</v>
      </c>
      <c r="B407" s="964" t="s">
        <v>1446</v>
      </c>
      <c r="C407" s="964" t="s">
        <v>926</v>
      </c>
      <c r="D407" s="965" t="s">
        <v>2801</v>
      </c>
    </row>
    <row r="408" spans="1:4" ht="22.8" x14ac:dyDescent="0.25">
      <c r="A408" s="960" t="s">
        <v>40</v>
      </c>
      <c r="B408" s="961" t="s">
        <v>1428</v>
      </c>
      <c r="C408" s="961" t="s">
        <v>2325</v>
      </c>
      <c r="D408" s="962" t="s">
        <v>2802</v>
      </c>
    </row>
    <row r="409" spans="1:4" ht="250.8" x14ac:dyDescent="0.25">
      <c r="A409" s="963" t="s">
        <v>452</v>
      </c>
      <c r="B409" s="964" t="s">
        <v>1447</v>
      </c>
      <c r="C409" s="964" t="s">
        <v>2382</v>
      </c>
      <c r="D409" s="965" t="s">
        <v>2803</v>
      </c>
    </row>
    <row r="410" spans="1:4" ht="45.6" x14ac:dyDescent="0.25">
      <c r="A410" s="963" t="s">
        <v>41</v>
      </c>
      <c r="B410" s="964" t="s">
        <v>1200</v>
      </c>
      <c r="C410" s="964" t="s">
        <v>2383</v>
      </c>
      <c r="D410" s="965" t="s">
        <v>2804</v>
      </c>
    </row>
    <row r="411" spans="1:4" ht="57" x14ac:dyDescent="0.25">
      <c r="A411" s="963" t="s">
        <v>42</v>
      </c>
      <c r="B411" s="964" t="s">
        <v>1201</v>
      </c>
      <c r="C411" s="964" t="s">
        <v>2384</v>
      </c>
      <c r="D411" s="965" t="s">
        <v>2805</v>
      </c>
    </row>
    <row r="412" spans="1:4" ht="22.8" x14ac:dyDescent="0.25">
      <c r="A412" s="963" t="s">
        <v>43</v>
      </c>
      <c r="B412" s="964" t="s">
        <v>1202</v>
      </c>
      <c r="C412" s="964" t="s">
        <v>1543</v>
      </c>
      <c r="D412" s="965" t="s">
        <v>2806</v>
      </c>
    </row>
    <row r="413" spans="1:4" ht="45.6" x14ac:dyDescent="0.25">
      <c r="A413" s="963" t="s">
        <v>45</v>
      </c>
      <c r="B413" s="964" t="s">
        <v>1203</v>
      </c>
      <c r="C413" s="964" t="s">
        <v>2385</v>
      </c>
      <c r="D413" s="965" t="s">
        <v>2807</v>
      </c>
    </row>
    <row r="414" spans="1:4" s="973" customFormat="1" ht="57" x14ac:dyDescent="0.2">
      <c r="A414" s="963" t="s">
        <v>47</v>
      </c>
      <c r="B414" s="964" t="s">
        <v>1204</v>
      </c>
      <c r="C414" s="964" t="s">
        <v>2243</v>
      </c>
      <c r="D414" s="965" t="s">
        <v>2808</v>
      </c>
    </row>
    <row r="415" spans="1:4" ht="34.200000000000003" x14ac:dyDescent="0.25">
      <c r="A415" s="963" t="s">
        <v>49</v>
      </c>
      <c r="B415" s="964" t="s">
        <v>1205</v>
      </c>
      <c r="C415" s="964" t="s">
        <v>2386</v>
      </c>
      <c r="D415" s="965" t="s">
        <v>2809</v>
      </c>
    </row>
    <row r="416" spans="1:4" s="970" customFormat="1" x14ac:dyDescent="0.25">
      <c r="A416" s="960" t="s">
        <v>44</v>
      </c>
      <c r="B416" s="961" t="s">
        <v>1431</v>
      </c>
      <c r="C416" s="961" t="s">
        <v>1489</v>
      </c>
      <c r="D416" s="962" t="s">
        <v>2810</v>
      </c>
    </row>
    <row r="417" spans="1:4" ht="159.6" x14ac:dyDescent="0.25">
      <c r="A417" s="963" t="s">
        <v>453</v>
      </c>
      <c r="B417" s="964" t="s">
        <v>1448</v>
      </c>
      <c r="C417" s="964" t="s">
        <v>856</v>
      </c>
      <c r="D417" s="964" t="s">
        <v>2811</v>
      </c>
    </row>
    <row r="418" spans="1:4" s="970" customFormat="1" ht="22.8" x14ac:dyDescent="0.25">
      <c r="A418" s="963" t="s">
        <v>60</v>
      </c>
      <c r="B418" s="964" t="s">
        <v>1206</v>
      </c>
      <c r="C418" s="964" t="s">
        <v>2244</v>
      </c>
      <c r="D418" s="965" t="s">
        <v>2812</v>
      </c>
    </row>
    <row r="419" spans="1:4" s="970" customFormat="1" ht="34.200000000000003" x14ac:dyDescent="0.25">
      <c r="A419" s="963" t="s">
        <v>62</v>
      </c>
      <c r="B419" s="964" t="s">
        <v>1207</v>
      </c>
      <c r="C419" s="964" t="s">
        <v>1544</v>
      </c>
      <c r="D419" s="965" t="s">
        <v>2813</v>
      </c>
    </row>
    <row r="420" spans="1:4" s="970" customFormat="1" ht="22.8" x14ac:dyDescent="0.25">
      <c r="A420" s="963" t="s">
        <v>64</v>
      </c>
      <c r="B420" s="964" t="s">
        <v>1208</v>
      </c>
      <c r="C420" s="964" t="s">
        <v>1783</v>
      </c>
      <c r="D420" s="965" t="s">
        <v>2814</v>
      </c>
    </row>
    <row r="421" spans="1:4" s="970" customFormat="1" ht="22.8" x14ac:dyDescent="0.25">
      <c r="A421" s="963" t="s">
        <v>67</v>
      </c>
      <c r="B421" s="964" t="s">
        <v>1209</v>
      </c>
      <c r="C421" s="964" t="s">
        <v>1545</v>
      </c>
      <c r="D421" s="965" t="s">
        <v>2815</v>
      </c>
    </row>
    <row r="422" spans="1:4" ht="34.200000000000003" x14ac:dyDescent="0.25">
      <c r="A422" s="963" t="s">
        <v>70</v>
      </c>
      <c r="B422" s="964" t="s">
        <v>1210</v>
      </c>
      <c r="C422" s="964" t="s">
        <v>1546</v>
      </c>
      <c r="D422" s="965" t="s">
        <v>2816</v>
      </c>
    </row>
    <row r="423" spans="1:4" ht="22.8" x14ac:dyDescent="0.25">
      <c r="A423" s="963" t="s">
        <v>1031</v>
      </c>
      <c r="B423" s="964" t="s">
        <v>1211</v>
      </c>
      <c r="C423" s="964" t="s">
        <v>1547</v>
      </c>
      <c r="D423" s="965" t="s">
        <v>2817</v>
      </c>
    </row>
    <row r="424" spans="1:4" ht="34.200000000000003" x14ac:dyDescent="0.25">
      <c r="A424" s="963" t="s">
        <v>1032</v>
      </c>
      <c r="B424" s="964" t="s">
        <v>1212</v>
      </c>
      <c r="C424" s="964" t="s">
        <v>2245</v>
      </c>
      <c r="D424" s="965" t="s">
        <v>2818</v>
      </c>
    </row>
    <row r="425" spans="1:4" ht="34.200000000000003" x14ac:dyDescent="0.25">
      <c r="A425" s="963" t="s">
        <v>1033</v>
      </c>
      <c r="B425" s="964" t="s">
        <v>1213</v>
      </c>
      <c r="C425" s="964" t="s">
        <v>1548</v>
      </c>
      <c r="D425" s="965" t="s">
        <v>2819</v>
      </c>
    </row>
    <row r="426" spans="1:4" ht="45.6" x14ac:dyDescent="0.25">
      <c r="A426" s="963" t="s">
        <v>1034</v>
      </c>
      <c r="B426" s="964" t="s">
        <v>1214</v>
      </c>
      <c r="C426" s="964" t="s">
        <v>2361</v>
      </c>
      <c r="D426" s="965" t="s">
        <v>2820</v>
      </c>
    </row>
    <row r="427" spans="1:4" ht="34.200000000000003" x14ac:dyDescent="0.25">
      <c r="A427" s="963" t="s">
        <v>1035</v>
      </c>
      <c r="B427" s="964" t="s">
        <v>1215</v>
      </c>
      <c r="C427" s="964" t="s">
        <v>2362</v>
      </c>
      <c r="D427" s="965" t="s">
        <v>2821</v>
      </c>
    </row>
    <row r="428" spans="1:4" ht="34.200000000000003" x14ac:dyDescent="0.25">
      <c r="A428" s="963" t="s">
        <v>1036</v>
      </c>
      <c r="B428" s="964" t="s">
        <v>1216</v>
      </c>
      <c r="C428" s="964" t="s">
        <v>2363</v>
      </c>
      <c r="D428" s="965" t="s">
        <v>2822</v>
      </c>
    </row>
    <row r="429" spans="1:4" ht="45.6" x14ac:dyDescent="0.25">
      <c r="A429" s="963" t="s">
        <v>1037</v>
      </c>
      <c r="B429" s="964" t="s">
        <v>1217</v>
      </c>
      <c r="C429" s="964" t="s">
        <v>2364</v>
      </c>
      <c r="D429" s="965" t="s">
        <v>2823</v>
      </c>
    </row>
    <row r="430" spans="1:4" ht="22.8" x14ac:dyDescent="0.25">
      <c r="A430" s="963" t="s">
        <v>1038</v>
      </c>
      <c r="B430" s="964" t="s">
        <v>1218</v>
      </c>
      <c r="C430" s="964" t="s">
        <v>1549</v>
      </c>
      <c r="D430" s="965" t="s">
        <v>2824</v>
      </c>
    </row>
    <row r="431" spans="1:4" x14ac:dyDescent="0.25">
      <c r="A431" s="960" t="s">
        <v>46</v>
      </c>
      <c r="B431" s="961" t="s">
        <v>1435</v>
      </c>
      <c r="C431" s="961" t="s">
        <v>1490</v>
      </c>
      <c r="D431" s="962" t="s">
        <v>2825</v>
      </c>
    </row>
    <row r="432" spans="1:4" ht="91.2" x14ac:dyDescent="0.25">
      <c r="A432" s="963" t="s">
        <v>455</v>
      </c>
      <c r="B432" s="964" t="s">
        <v>1754</v>
      </c>
      <c r="C432" s="964" t="s">
        <v>2365</v>
      </c>
      <c r="D432" s="965" t="s">
        <v>2826</v>
      </c>
    </row>
    <row r="433" spans="1:4" ht="22.8" x14ac:dyDescent="0.25">
      <c r="A433" s="963" t="s">
        <v>72</v>
      </c>
      <c r="B433" s="964" t="s">
        <v>1219</v>
      </c>
      <c r="C433" s="964" t="s">
        <v>2246</v>
      </c>
      <c r="D433" s="965" t="s">
        <v>2827</v>
      </c>
    </row>
    <row r="434" spans="1:4" ht="34.200000000000003" x14ac:dyDescent="0.25">
      <c r="A434" s="963" t="s">
        <v>75</v>
      </c>
      <c r="B434" s="964" t="s">
        <v>1220</v>
      </c>
      <c r="C434" s="964" t="s">
        <v>1550</v>
      </c>
      <c r="D434" s="965" t="s">
        <v>2828</v>
      </c>
    </row>
    <row r="435" spans="1:4" s="970" customFormat="1" ht="45.6" x14ac:dyDescent="0.25">
      <c r="A435" s="963" t="s">
        <v>78</v>
      </c>
      <c r="B435" s="964" t="s">
        <v>1221</v>
      </c>
      <c r="C435" s="964" t="s">
        <v>1784</v>
      </c>
      <c r="D435" s="965" t="s">
        <v>2829</v>
      </c>
    </row>
    <row r="436" spans="1:4" ht="57" x14ac:dyDescent="0.25">
      <c r="A436" s="963" t="s">
        <v>81</v>
      </c>
      <c r="B436" s="964" t="s">
        <v>1222</v>
      </c>
      <c r="C436" s="964" t="s">
        <v>1785</v>
      </c>
      <c r="D436" s="965" t="s">
        <v>2830</v>
      </c>
    </row>
    <row r="437" spans="1:4" ht="34.200000000000003" x14ac:dyDescent="0.25">
      <c r="A437" s="963" t="s">
        <v>83</v>
      </c>
      <c r="B437" s="964" t="s">
        <v>1223</v>
      </c>
      <c r="C437" s="964" t="s">
        <v>1786</v>
      </c>
      <c r="D437" s="965" t="s">
        <v>2831</v>
      </c>
    </row>
    <row r="438" spans="1:4" ht="34.200000000000003" x14ac:dyDescent="0.25">
      <c r="A438" s="963" t="s">
        <v>85</v>
      </c>
      <c r="B438" s="964" t="s">
        <v>1224</v>
      </c>
      <c r="C438" s="964" t="s">
        <v>1787</v>
      </c>
      <c r="D438" s="965" t="s">
        <v>2832</v>
      </c>
    </row>
    <row r="439" spans="1:4" ht="34.200000000000003" x14ac:dyDescent="0.25">
      <c r="A439" s="963" t="s">
        <v>87</v>
      </c>
      <c r="B439" s="964" t="s">
        <v>1225</v>
      </c>
      <c r="C439" s="964" t="s">
        <v>1551</v>
      </c>
      <c r="D439" s="965" t="s">
        <v>2833</v>
      </c>
    </row>
    <row r="440" spans="1:4" x14ac:dyDescent="0.25">
      <c r="A440" s="960" t="s">
        <v>1101</v>
      </c>
      <c r="B440" s="961" t="s">
        <v>1437</v>
      </c>
      <c r="C440" s="961" t="s">
        <v>1491</v>
      </c>
      <c r="D440" s="962" t="s">
        <v>2834</v>
      </c>
    </row>
    <row r="441" spans="1:4" ht="91.2" x14ac:dyDescent="0.25">
      <c r="A441" s="963" t="s">
        <v>1444</v>
      </c>
      <c r="B441" s="964" t="s">
        <v>1755</v>
      </c>
      <c r="C441" s="964" t="s">
        <v>1756</v>
      </c>
      <c r="D441" s="965" t="s">
        <v>2835</v>
      </c>
    </row>
    <row r="442" spans="1:4" ht="45.6" x14ac:dyDescent="0.25">
      <c r="A442" s="963" t="s">
        <v>1039</v>
      </c>
      <c r="B442" s="964" t="s">
        <v>1226</v>
      </c>
      <c r="C442" s="964" t="s">
        <v>2247</v>
      </c>
      <c r="D442" s="965" t="s">
        <v>2836</v>
      </c>
    </row>
    <row r="443" spans="1:4" ht="22.8" x14ac:dyDescent="0.25">
      <c r="A443" s="963" t="s">
        <v>1040</v>
      </c>
      <c r="B443" s="964" t="s">
        <v>1227</v>
      </c>
      <c r="C443" s="964" t="s">
        <v>2366</v>
      </c>
      <c r="D443" s="965" t="s">
        <v>2837</v>
      </c>
    </row>
    <row r="444" spans="1:4" ht="34.200000000000003" x14ac:dyDescent="0.25">
      <c r="A444" s="963" t="s">
        <v>1041</v>
      </c>
      <c r="B444" s="964" t="s">
        <v>1228</v>
      </c>
      <c r="C444" s="964" t="s">
        <v>2248</v>
      </c>
      <c r="D444" s="965" t="s">
        <v>2838</v>
      </c>
    </row>
    <row r="445" spans="1:4" ht="45.6" x14ac:dyDescent="0.25">
      <c r="A445" s="963" t="s">
        <v>1042</v>
      </c>
      <c r="B445" s="964" t="s">
        <v>1229</v>
      </c>
      <c r="C445" s="964" t="s">
        <v>1552</v>
      </c>
      <c r="D445" s="965" t="s">
        <v>2839</v>
      </c>
    </row>
    <row r="446" spans="1:4" ht="34.200000000000003" x14ac:dyDescent="0.25">
      <c r="A446" s="963" t="s">
        <v>1043</v>
      </c>
      <c r="B446" s="964" t="s">
        <v>1230</v>
      </c>
      <c r="C446" s="964" t="s">
        <v>1788</v>
      </c>
      <c r="D446" s="965" t="s">
        <v>2840</v>
      </c>
    </row>
    <row r="447" spans="1:4" x14ac:dyDescent="0.25">
      <c r="A447" s="960" t="s">
        <v>1102</v>
      </c>
      <c r="B447" s="961" t="s">
        <v>454</v>
      </c>
      <c r="C447" s="961" t="s">
        <v>790</v>
      </c>
      <c r="D447" s="962" t="s">
        <v>2464</v>
      </c>
    </row>
    <row r="448" spans="1:4" ht="68.400000000000006" x14ac:dyDescent="0.25">
      <c r="A448" s="963" t="s">
        <v>1445</v>
      </c>
      <c r="B448" s="964" t="s">
        <v>456</v>
      </c>
      <c r="C448" s="964" t="s">
        <v>921</v>
      </c>
      <c r="D448" s="965" t="s">
        <v>2465</v>
      </c>
    </row>
    <row r="449" spans="1:4" ht="22.8" x14ac:dyDescent="0.25">
      <c r="A449" s="963" t="s">
        <v>1044</v>
      </c>
      <c r="B449" s="964" t="s">
        <v>1231</v>
      </c>
      <c r="C449" s="964" t="s">
        <v>1553</v>
      </c>
      <c r="D449" s="965" t="s">
        <v>2841</v>
      </c>
    </row>
    <row r="450" spans="1:4" s="970" customFormat="1" ht="22.8" x14ac:dyDescent="0.25">
      <c r="A450" s="963" t="s">
        <v>1045</v>
      </c>
      <c r="B450" s="964" t="s">
        <v>457</v>
      </c>
      <c r="C450" s="964" t="s">
        <v>1554</v>
      </c>
      <c r="D450" s="965" t="s">
        <v>2842</v>
      </c>
    </row>
    <row r="451" spans="1:4" ht="34.200000000000003" x14ac:dyDescent="0.25">
      <c r="A451" s="963" t="s">
        <v>1046</v>
      </c>
      <c r="B451" s="964" t="s">
        <v>1232</v>
      </c>
      <c r="C451" s="964" t="s">
        <v>2347</v>
      </c>
      <c r="D451" s="965" t="s">
        <v>2843</v>
      </c>
    </row>
    <row r="452" spans="1:4" ht="22.8" x14ac:dyDescent="0.25">
      <c r="A452" s="963" t="s">
        <v>1047</v>
      </c>
      <c r="B452" s="964" t="s">
        <v>458</v>
      </c>
      <c r="C452" s="964" t="s">
        <v>1555</v>
      </c>
      <c r="D452" s="965" t="s">
        <v>2844</v>
      </c>
    </row>
    <row r="453" spans="1:4" ht="34.200000000000003" x14ac:dyDescent="0.25">
      <c r="A453" s="963" t="s">
        <v>1048</v>
      </c>
      <c r="B453" s="964" t="s">
        <v>1233</v>
      </c>
      <c r="C453" s="964" t="s">
        <v>1556</v>
      </c>
      <c r="D453" s="965" t="s">
        <v>2845</v>
      </c>
    </row>
    <row r="454" spans="1:4" ht="22.8" x14ac:dyDescent="0.25">
      <c r="A454" s="963" t="s">
        <v>1049</v>
      </c>
      <c r="B454" s="964" t="s">
        <v>1234</v>
      </c>
      <c r="C454" s="964" t="s">
        <v>1557</v>
      </c>
      <c r="D454" s="965" t="s">
        <v>2846</v>
      </c>
    </row>
    <row r="455" spans="1:4" x14ac:dyDescent="0.25">
      <c r="A455" s="960" t="s">
        <v>69</v>
      </c>
      <c r="B455" s="961" t="s">
        <v>1261</v>
      </c>
      <c r="C455" s="961" t="s">
        <v>1764</v>
      </c>
      <c r="D455" s="962" t="s">
        <v>2847</v>
      </c>
    </row>
    <row r="456" spans="1:4" ht="171" x14ac:dyDescent="0.25">
      <c r="A456" s="963" t="s">
        <v>595</v>
      </c>
      <c r="B456" s="964" t="s">
        <v>1473</v>
      </c>
      <c r="C456" s="964" t="s">
        <v>859</v>
      </c>
      <c r="D456" s="964" t="s">
        <v>2848</v>
      </c>
    </row>
    <row r="457" spans="1:4" x14ac:dyDescent="0.25">
      <c r="A457" s="960" t="s">
        <v>84</v>
      </c>
      <c r="B457" s="961" t="s">
        <v>596</v>
      </c>
      <c r="C457" s="961" t="s">
        <v>1494</v>
      </c>
      <c r="D457" s="962" t="s">
        <v>2849</v>
      </c>
    </row>
    <row r="458" spans="1:4" ht="45.6" x14ac:dyDescent="0.25">
      <c r="A458" s="963" t="s">
        <v>597</v>
      </c>
      <c r="B458" s="964" t="s">
        <v>598</v>
      </c>
      <c r="C458" s="964" t="s">
        <v>860</v>
      </c>
      <c r="D458" s="965" t="s">
        <v>2850</v>
      </c>
    </row>
    <row r="459" spans="1:4" s="970" customFormat="1" ht="34.200000000000003" x14ac:dyDescent="0.25">
      <c r="A459" s="963" t="s">
        <v>222</v>
      </c>
      <c r="B459" s="964" t="s">
        <v>1262</v>
      </c>
      <c r="C459" s="964" t="s">
        <v>2249</v>
      </c>
      <c r="D459" s="965" t="s">
        <v>2851</v>
      </c>
    </row>
    <row r="460" spans="1:4" s="970" customFormat="1" ht="34.200000000000003" x14ac:dyDescent="0.25">
      <c r="A460" s="963" t="s">
        <v>223</v>
      </c>
      <c r="B460" s="964" t="s">
        <v>1263</v>
      </c>
      <c r="C460" s="964" t="s">
        <v>2250</v>
      </c>
      <c r="D460" s="965" t="s">
        <v>2852</v>
      </c>
    </row>
    <row r="461" spans="1:4" ht="45.6" x14ac:dyDescent="0.25">
      <c r="A461" s="963" t="s">
        <v>224</v>
      </c>
      <c r="B461" s="964" t="s">
        <v>1264</v>
      </c>
      <c r="C461" s="964" t="s">
        <v>1576</v>
      </c>
      <c r="D461" s="965" t="s">
        <v>2853</v>
      </c>
    </row>
    <row r="462" spans="1:4" s="973" customFormat="1" x14ac:dyDescent="0.2">
      <c r="A462" s="963" t="s">
        <v>225</v>
      </c>
      <c r="B462" s="964" t="s">
        <v>599</v>
      </c>
      <c r="C462" s="964" t="s">
        <v>1577</v>
      </c>
      <c r="D462" s="965" t="s">
        <v>2854</v>
      </c>
    </row>
    <row r="463" spans="1:4" ht="22.8" x14ac:dyDescent="0.25">
      <c r="A463" s="963" t="s">
        <v>1059</v>
      </c>
      <c r="B463" s="964" t="s">
        <v>1265</v>
      </c>
      <c r="C463" s="964" t="s">
        <v>1578</v>
      </c>
      <c r="D463" s="965" t="s">
        <v>2855</v>
      </c>
    </row>
    <row r="464" spans="1:4" x14ac:dyDescent="0.25">
      <c r="A464" s="960" t="s">
        <v>86</v>
      </c>
      <c r="B464" s="961" t="s">
        <v>600</v>
      </c>
      <c r="C464" s="961" t="s">
        <v>1495</v>
      </c>
      <c r="D464" s="962" t="s">
        <v>2856</v>
      </c>
    </row>
    <row r="465" spans="1:4" ht="102.6" x14ac:dyDescent="0.25">
      <c r="A465" s="963" t="s">
        <v>601</v>
      </c>
      <c r="B465" s="964" t="s">
        <v>1464</v>
      </c>
      <c r="C465" s="964" t="s">
        <v>861</v>
      </c>
      <c r="D465" s="965" t="s">
        <v>2857</v>
      </c>
    </row>
    <row r="466" spans="1:4" ht="22.8" x14ac:dyDescent="0.25">
      <c r="A466" s="963" t="s">
        <v>226</v>
      </c>
      <c r="B466" s="964" t="s">
        <v>1266</v>
      </c>
      <c r="C466" s="964" t="s">
        <v>2251</v>
      </c>
      <c r="D466" s="965" t="s">
        <v>2858</v>
      </c>
    </row>
    <row r="467" spans="1:4" ht="34.200000000000003" x14ac:dyDescent="0.25">
      <c r="A467" s="963" t="s">
        <v>227</v>
      </c>
      <c r="B467" s="964" t="s">
        <v>1267</v>
      </c>
      <c r="C467" s="964" t="s">
        <v>2252</v>
      </c>
      <c r="D467" s="965" t="s">
        <v>2859</v>
      </c>
    </row>
    <row r="468" spans="1:4" s="970" customFormat="1" ht="34.200000000000003" x14ac:dyDescent="0.25">
      <c r="A468" s="963" t="s">
        <v>228</v>
      </c>
      <c r="B468" s="964" t="s">
        <v>602</v>
      </c>
      <c r="C468" s="964" t="s">
        <v>1579</v>
      </c>
      <c r="D468" s="965" t="s">
        <v>2860</v>
      </c>
    </row>
    <row r="469" spans="1:4" ht="57" x14ac:dyDescent="0.25">
      <c r="A469" s="963" t="s">
        <v>229</v>
      </c>
      <c r="B469" s="964" t="s">
        <v>1268</v>
      </c>
      <c r="C469" s="964" t="s">
        <v>2253</v>
      </c>
      <c r="D469" s="965" t="s">
        <v>2861</v>
      </c>
    </row>
    <row r="470" spans="1:4" ht="22.8" x14ac:dyDescent="0.25">
      <c r="A470" s="963" t="s">
        <v>230</v>
      </c>
      <c r="B470" s="964" t="s">
        <v>1269</v>
      </c>
      <c r="C470" s="964" t="s">
        <v>1580</v>
      </c>
      <c r="D470" s="965" t="s">
        <v>2862</v>
      </c>
    </row>
    <row r="471" spans="1:4" ht="22.8" x14ac:dyDescent="0.25">
      <c r="A471" s="963" t="s">
        <v>231</v>
      </c>
      <c r="B471" s="964" t="s">
        <v>1270</v>
      </c>
      <c r="C471" s="964" t="s">
        <v>1789</v>
      </c>
      <c r="D471" s="965" t="s">
        <v>2863</v>
      </c>
    </row>
    <row r="472" spans="1:4" ht="22.8" x14ac:dyDescent="0.25">
      <c r="A472" s="963" t="s">
        <v>232</v>
      </c>
      <c r="B472" s="964" t="s">
        <v>1271</v>
      </c>
      <c r="C472" s="964" t="s">
        <v>1581</v>
      </c>
      <c r="D472" s="965" t="s">
        <v>2864</v>
      </c>
    </row>
    <row r="473" spans="1:4" ht="22.8" x14ac:dyDescent="0.25">
      <c r="A473" s="963" t="s">
        <v>233</v>
      </c>
      <c r="B473" s="964" t="s">
        <v>1272</v>
      </c>
      <c r="C473" s="964" t="s">
        <v>1582</v>
      </c>
      <c r="D473" s="965" t="s">
        <v>2865</v>
      </c>
    </row>
    <row r="474" spans="1:4" ht="22.8" x14ac:dyDescent="0.25">
      <c r="A474" s="963" t="s">
        <v>234</v>
      </c>
      <c r="B474" s="964" t="s">
        <v>1273</v>
      </c>
      <c r="C474" s="964" t="s">
        <v>1583</v>
      </c>
      <c r="D474" s="965" t="s">
        <v>2866</v>
      </c>
    </row>
    <row r="475" spans="1:4" s="970" customFormat="1" ht="34.200000000000003" x14ac:dyDescent="0.25">
      <c r="A475" s="963" t="s">
        <v>235</v>
      </c>
      <c r="B475" s="964" t="s">
        <v>1274</v>
      </c>
      <c r="C475" s="964" t="s">
        <v>1584</v>
      </c>
      <c r="D475" s="965" t="s">
        <v>2867</v>
      </c>
    </row>
    <row r="476" spans="1:4" x14ac:dyDescent="0.25">
      <c r="A476" s="960" t="s">
        <v>88</v>
      </c>
      <c r="B476" s="961" t="s">
        <v>603</v>
      </c>
      <c r="C476" s="961" t="s">
        <v>1496</v>
      </c>
      <c r="D476" s="962" t="s">
        <v>2868</v>
      </c>
    </row>
    <row r="477" spans="1:4" ht="79.8" x14ac:dyDescent="0.25">
      <c r="A477" s="963" t="s">
        <v>604</v>
      </c>
      <c r="B477" s="964" t="s">
        <v>605</v>
      </c>
      <c r="C477" s="964" t="s">
        <v>777</v>
      </c>
      <c r="D477" s="965" t="s">
        <v>2869</v>
      </c>
    </row>
    <row r="478" spans="1:4" ht="22.8" x14ac:dyDescent="0.25">
      <c r="A478" s="963" t="s">
        <v>236</v>
      </c>
      <c r="B478" s="964" t="s">
        <v>606</v>
      </c>
      <c r="C478" s="964" t="s">
        <v>1790</v>
      </c>
      <c r="D478" s="965" t="s">
        <v>2870</v>
      </c>
    </row>
    <row r="479" spans="1:4" ht="22.8" x14ac:dyDescent="0.25">
      <c r="A479" s="963" t="s">
        <v>237</v>
      </c>
      <c r="B479" s="964" t="s">
        <v>607</v>
      </c>
      <c r="C479" s="964" t="s">
        <v>1585</v>
      </c>
      <c r="D479" s="965" t="s">
        <v>2871</v>
      </c>
    </row>
    <row r="480" spans="1:4" ht="22.8" x14ac:dyDescent="0.25">
      <c r="A480" s="963" t="s">
        <v>238</v>
      </c>
      <c r="B480" s="964" t="s">
        <v>608</v>
      </c>
      <c r="C480" s="964" t="s">
        <v>1586</v>
      </c>
      <c r="D480" s="965" t="s">
        <v>2872</v>
      </c>
    </row>
    <row r="481" spans="1:4" ht="34.200000000000003" x14ac:dyDescent="0.25">
      <c r="A481" s="963" t="s">
        <v>239</v>
      </c>
      <c r="B481" s="964" t="s">
        <v>1275</v>
      </c>
      <c r="C481" s="964" t="s">
        <v>1587</v>
      </c>
      <c r="D481" s="965" t="s">
        <v>2873</v>
      </c>
    </row>
    <row r="482" spans="1:4" ht="22.8" x14ac:dyDescent="0.25">
      <c r="A482" s="963" t="s">
        <v>240</v>
      </c>
      <c r="B482" s="964" t="s">
        <v>1276</v>
      </c>
      <c r="C482" s="964" t="s">
        <v>1588</v>
      </c>
      <c r="D482" s="965" t="s">
        <v>2874</v>
      </c>
    </row>
    <row r="483" spans="1:4" ht="34.200000000000003" x14ac:dyDescent="0.25">
      <c r="A483" s="963" t="s">
        <v>241</v>
      </c>
      <c r="B483" s="964" t="s">
        <v>1277</v>
      </c>
      <c r="C483" s="964" t="s">
        <v>1589</v>
      </c>
      <c r="D483" s="965" t="s">
        <v>2875</v>
      </c>
    </row>
    <row r="484" spans="1:4" s="970" customFormat="1" ht="22.8" x14ac:dyDescent="0.25">
      <c r="A484" s="963" t="s">
        <v>242</v>
      </c>
      <c r="B484" s="964" t="s">
        <v>1278</v>
      </c>
      <c r="C484" s="964" t="s">
        <v>1590</v>
      </c>
      <c r="D484" s="965" t="s">
        <v>2876</v>
      </c>
    </row>
    <row r="485" spans="1:4" ht="45.6" x14ac:dyDescent="0.25">
      <c r="A485" s="963" t="s">
        <v>243</v>
      </c>
      <c r="B485" s="964" t="s">
        <v>1279</v>
      </c>
      <c r="C485" s="964" t="s">
        <v>1791</v>
      </c>
      <c r="D485" s="965" t="s">
        <v>2877</v>
      </c>
    </row>
    <row r="486" spans="1:4" x14ac:dyDescent="0.25">
      <c r="A486" s="960" t="s">
        <v>90</v>
      </c>
      <c r="B486" s="961" t="s">
        <v>454</v>
      </c>
      <c r="C486" s="961" t="s">
        <v>790</v>
      </c>
      <c r="D486" s="962" t="s">
        <v>2464</v>
      </c>
    </row>
    <row r="487" spans="1:4" ht="68.400000000000006" x14ac:dyDescent="0.25">
      <c r="A487" s="963" t="s">
        <v>609</v>
      </c>
      <c r="B487" s="964" t="s">
        <v>456</v>
      </c>
      <c r="C487" s="964" t="s">
        <v>921</v>
      </c>
      <c r="D487" s="965" t="s">
        <v>2465</v>
      </c>
    </row>
    <row r="488" spans="1:4" ht="22.8" x14ac:dyDescent="0.25">
      <c r="A488" s="963" t="s">
        <v>245</v>
      </c>
      <c r="B488" s="964" t="s">
        <v>1280</v>
      </c>
      <c r="C488" s="964" t="s">
        <v>1591</v>
      </c>
      <c r="D488" s="965" t="s">
        <v>2878</v>
      </c>
    </row>
    <row r="489" spans="1:4" ht="22.8" x14ac:dyDescent="0.25">
      <c r="A489" s="963" t="s">
        <v>246</v>
      </c>
      <c r="B489" s="964" t="s">
        <v>610</v>
      </c>
      <c r="C489" s="964" t="s">
        <v>1592</v>
      </c>
      <c r="D489" s="965" t="s">
        <v>2879</v>
      </c>
    </row>
    <row r="490" spans="1:4" ht="34.200000000000003" x14ac:dyDescent="0.25">
      <c r="A490" s="963" t="s">
        <v>247</v>
      </c>
      <c r="B490" s="964" t="s">
        <v>1281</v>
      </c>
      <c r="C490" s="964" t="s">
        <v>2254</v>
      </c>
      <c r="D490" s="965" t="s">
        <v>2880</v>
      </c>
    </row>
    <row r="491" spans="1:4" s="970" customFormat="1" ht="22.8" x14ac:dyDescent="0.25">
      <c r="A491" s="963" t="s">
        <v>248</v>
      </c>
      <c r="B491" s="964" t="s">
        <v>611</v>
      </c>
      <c r="C491" s="964" t="s">
        <v>1593</v>
      </c>
      <c r="D491" s="965" t="s">
        <v>2881</v>
      </c>
    </row>
    <row r="492" spans="1:4" ht="34.200000000000003" x14ac:dyDescent="0.25">
      <c r="A492" s="963" t="s">
        <v>249</v>
      </c>
      <c r="B492" s="964" t="s">
        <v>1282</v>
      </c>
      <c r="C492" s="964" t="s">
        <v>1594</v>
      </c>
      <c r="D492" s="965" t="s">
        <v>2882</v>
      </c>
    </row>
    <row r="493" spans="1:4" ht="22.8" x14ac:dyDescent="0.25">
      <c r="A493" s="963" t="s">
        <v>250</v>
      </c>
      <c r="B493" s="964" t="s">
        <v>1283</v>
      </c>
      <c r="C493" s="964" t="s">
        <v>1595</v>
      </c>
      <c r="D493" s="965" t="s">
        <v>2883</v>
      </c>
    </row>
    <row r="494" spans="1:4" x14ac:dyDescent="0.2">
      <c r="A494" s="969" t="s">
        <v>1145</v>
      </c>
      <c r="B494" s="967" t="s">
        <v>1319</v>
      </c>
      <c r="C494" s="961" t="s">
        <v>2387</v>
      </c>
      <c r="D494" s="962" t="s">
        <v>2884</v>
      </c>
    </row>
    <row r="495" spans="1:4" ht="319.2" x14ac:dyDescent="0.2">
      <c r="A495" s="968" t="s">
        <v>1452</v>
      </c>
      <c r="B495" s="966" t="s">
        <v>1472</v>
      </c>
      <c r="C495" s="964" t="s">
        <v>857</v>
      </c>
      <c r="D495" s="965" t="s">
        <v>2885</v>
      </c>
    </row>
    <row r="496" spans="1:4" s="973" customFormat="1" x14ac:dyDescent="0.2">
      <c r="A496" s="961" t="s">
        <v>1121</v>
      </c>
      <c r="B496" s="961" t="s">
        <v>1429</v>
      </c>
      <c r="C496" s="961" t="s">
        <v>2388</v>
      </c>
      <c r="D496" s="962" t="s">
        <v>2886</v>
      </c>
    </row>
    <row r="497" spans="1:4" s="973" customFormat="1" ht="79.8" x14ac:dyDescent="0.2">
      <c r="A497" s="964" t="s">
        <v>1453</v>
      </c>
      <c r="B497" s="964" t="s">
        <v>1465</v>
      </c>
      <c r="C497" s="964" t="s">
        <v>858</v>
      </c>
      <c r="D497" s="965" t="s">
        <v>2887</v>
      </c>
    </row>
    <row r="498" spans="1:4" ht="57" x14ac:dyDescent="0.25">
      <c r="A498" s="964" t="s">
        <v>1122</v>
      </c>
      <c r="B498" s="964" t="s">
        <v>1320</v>
      </c>
      <c r="C498" s="964" t="s">
        <v>2389</v>
      </c>
      <c r="D498" s="965" t="s">
        <v>2888</v>
      </c>
    </row>
    <row r="499" spans="1:4" ht="45.6" x14ac:dyDescent="0.25">
      <c r="A499" s="964" t="s">
        <v>1123</v>
      </c>
      <c r="B499" s="964" t="s">
        <v>1321</v>
      </c>
      <c r="C499" s="964" t="s">
        <v>2390</v>
      </c>
      <c r="D499" s="965" t="s">
        <v>2889</v>
      </c>
    </row>
    <row r="500" spans="1:4" s="970" customFormat="1" ht="45.6" x14ac:dyDescent="0.25">
      <c r="A500" s="964" t="s">
        <v>1124</v>
      </c>
      <c r="B500" s="964" t="s">
        <v>1322</v>
      </c>
      <c r="C500" s="964" t="s">
        <v>2391</v>
      </c>
      <c r="D500" s="965" t="s">
        <v>2890</v>
      </c>
    </row>
    <row r="501" spans="1:4" ht="45.6" x14ac:dyDescent="0.25">
      <c r="A501" s="964" t="s">
        <v>1125</v>
      </c>
      <c r="B501" s="964" t="s">
        <v>1323</v>
      </c>
      <c r="C501" s="964" t="s">
        <v>2392</v>
      </c>
      <c r="D501" s="965" t="s">
        <v>2891</v>
      </c>
    </row>
    <row r="502" spans="1:4" s="970" customFormat="1" ht="34.200000000000003" x14ac:dyDescent="0.25">
      <c r="A502" s="964" t="s">
        <v>1126</v>
      </c>
      <c r="B502" s="964" t="s">
        <v>1324</v>
      </c>
      <c r="C502" s="964" t="s">
        <v>2393</v>
      </c>
      <c r="D502" s="965" t="s">
        <v>2892</v>
      </c>
    </row>
    <row r="503" spans="1:4" x14ac:dyDescent="0.25">
      <c r="A503" s="961" t="s">
        <v>1127</v>
      </c>
      <c r="B503" s="961" t="s">
        <v>1432</v>
      </c>
      <c r="C503" s="961" t="s">
        <v>2394</v>
      </c>
      <c r="D503" s="962" t="s">
        <v>2893</v>
      </c>
    </row>
    <row r="504" spans="1:4" ht="148.19999999999999" x14ac:dyDescent="0.25">
      <c r="A504" s="964" t="s">
        <v>1454</v>
      </c>
      <c r="B504" s="964" t="s">
        <v>1466</v>
      </c>
      <c r="C504" s="964" t="s">
        <v>925</v>
      </c>
      <c r="D504" s="965" t="s">
        <v>2894</v>
      </c>
    </row>
    <row r="505" spans="1:4" ht="34.200000000000003" x14ac:dyDescent="0.25">
      <c r="A505" s="964" t="s">
        <v>1128</v>
      </c>
      <c r="B505" s="964" t="s">
        <v>1325</v>
      </c>
      <c r="C505" s="964" t="s">
        <v>2395</v>
      </c>
      <c r="D505" s="965" t="s">
        <v>2895</v>
      </c>
    </row>
    <row r="506" spans="1:4" ht="34.200000000000003" x14ac:dyDescent="0.25">
      <c r="A506" s="964" t="s">
        <v>1129</v>
      </c>
      <c r="B506" s="964" t="s">
        <v>1326</v>
      </c>
      <c r="C506" s="964" t="s">
        <v>2367</v>
      </c>
      <c r="D506" s="965" t="s">
        <v>2896</v>
      </c>
    </row>
    <row r="507" spans="1:4" ht="45.6" x14ac:dyDescent="0.25">
      <c r="A507" s="964" t="s">
        <v>1130</v>
      </c>
      <c r="B507" s="964" t="s">
        <v>1327</v>
      </c>
      <c r="C507" s="964" t="s">
        <v>2396</v>
      </c>
      <c r="D507" s="965" t="s">
        <v>2897</v>
      </c>
    </row>
    <row r="508" spans="1:4" ht="22.8" x14ac:dyDescent="0.25">
      <c r="A508" s="964" t="s">
        <v>1131</v>
      </c>
      <c r="B508" s="964" t="s">
        <v>1328</v>
      </c>
      <c r="C508" s="964" t="s">
        <v>2397</v>
      </c>
      <c r="D508" s="965" t="s">
        <v>2898</v>
      </c>
    </row>
    <row r="509" spans="1:4" s="973" customFormat="1" ht="22.8" x14ac:dyDescent="0.2">
      <c r="A509" s="964" t="s">
        <v>1132</v>
      </c>
      <c r="B509" s="964" t="s">
        <v>1329</v>
      </c>
      <c r="C509" s="964" t="s">
        <v>2398</v>
      </c>
      <c r="D509" s="965" t="s">
        <v>2899</v>
      </c>
    </row>
    <row r="510" spans="1:4" ht="22.8" x14ac:dyDescent="0.25">
      <c r="A510" s="964" t="s">
        <v>1133</v>
      </c>
      <c r="B510" s="964" t="s">
        <v>1330</v>
      </c>
      <c r="C510" s="964" t="s">
        <v>2399</v>
      </c>
      <c r="D510" s="965" t="s">
        <v>2900</v>
      </c>
    </row>
    <row r="511" spans="1:4" ht="22.8" x14ac:dyDescent="0.25">
      <c r="A511" s="964" t="s">
        <v>1134</v>
      </c>
      <c r="B511" s="964" t="s">
        <v>1331</v>
      </c>
      <c r="C511" s="964" t="s">
        <v>2400</v>
      </c>
      <c r="D511" s="965" t="s">
        <v>2901</v>
      </c>
    </row>
    <row r="512" spans="1:4" ht="34.200000000000003" x14ac:dyDescent="0.25">
      <c r="A512" s="964" t="s">
        <v>1135</v>
      </c>
      <c r="B512" s="964" t="s">
        <v>1332</v>
      </c>
      <c r="C512" s="964" t="s">
        <v>2401</v>
      </c>
      <c r="D512" s="965" t="s">
        <v>2902</v>
      </c>
    </row>
    <row r="513" spans="1:4" s="970" customFormat="1" ht="22.8" x14ac:dyDescent="0.25">
      <c r="A513" s="964" t="s">
        <v>1136</v>
      </c>
      <c r="B513" s="964" t="s">
        <v>1333</v>
      </c>
      <c r="C513" s="964" t="s">
        <v>1626</v>
      </c>
      <c r="D513" s="965" t="s">
        <v>2903</v>
      </c>
    </row>
    <row r="514" spans="1:4" ht="34.200000000000003" x14ac:dyDescent="0.25">
      <c r="A514" s="964" t="s">
        <v>1137</v>
      </c>
      <c r="B514" s="964" t="s">
        <v>1334</v>
      </c>
      <c r="C514" s="964" t="s">
        <v>1627</v>
      </c>
      <c r="D514" s="965" t="s">
        <v>2904</v>
      </c>
    </row>
    <row r="515" spans="1:4" ht="34.200000000000003" x14ac:dyDescent="0.25">
      <c r="A515" s="964" t="s">
        <v>1138</v>
      </c>
      <c r="B515" s="964" t="s">
        <v>578</v>
      </c>
      <c r="C515" s="964" t="s">
        <v>1628</v>
      </c>
      <c r="D515" s="965" t="s">
        <v>2905</v>
      </c>
    </row>
    <row r="516" spans="1:4" x14ac:dyDescent="0.25">
      <c r="A516" s="961" t="s">
        <v>1146</v>
      </c>
      <c r="B516" s="961" t="s">
        <v>454</v>
      </c>
      <c r="C516" s="961" t="s">
        <v>790</v>
      </c>
      <c r="D516" s="962" t="s">
        <v>2464</v>
      </c>
    </row>
    <row r="517" spans="1:4" ht="68.400000000000006" x14ac:dyDescent="0.25">
      <c r="A517" s="964" t="s">
        <v>1455</v>
      </c>
      <c r="B517" s="964" t="s">
        <v>456</v>
      </c>
      <c r="C517" s="964" t="s">
        <v>921</v>
      </c>
      <c r="D517" s="965" t="s">
        <v>2465</v>
      </c>
    </row>
    <row r="518" spans="1:4" ht="22.8" x14ac:dyDescent="0.25">
      <c r="A518" s="964" t="s">
        <v>1139</v>
      </c>
      <c r="B518" s="964" t="s">
        <v>1335</v>
      </c>
      <c r="C518" s="964" t="s">
        <v>1629</v>
      </c>
      <c r="D518" s="965" t="s">
        <v>2906</v>
      </c>
    </row>
    <row r="519" spans="1:4" ht="22.8" x14ac:dyDescent="0.25">
      <c r="A519" s="964" t="s">
        <v>1140</v>
      </c>
      <c r="B519" s="964" t="s">
        <v>1336</v>
      </c>
      <c r="C519" s="964" t="s">
        <v>1630</v>
      </c>
      <c r="D519" s="965" t="s">
        <v>2907</v>
      </c>
    </row>
    <row r="520" spans="1:4" ht="34.200000000000003" x14ac:dyDescent="0.25">
      <c r="A520" s="964" t="s">
        <v>1141</v>
      </c>
      <c r="B520" s="964" t="s">
        <v>1337</v>
      </c>
      <c r="C520" s="964" t="s">
        <v>2348</v>
      </c>
      <c r="D520" s="965" t="s">
        <v>2908</v>
      </c>
    </row>
    <row r="521" spans="1:4" ht="22.8" x14ac:dyDescent="0.25">
      <c r="A521" s="964" t="s">
        <v>1142</v>
      </c>
      <c r="B521" s="964" t="s">
        <v>1338</v>
      </c>
      <c r="C521" s="964" t="s">
        <v>1631</v>
      </c>
      <c r="D521" s="965" t="s">
        <v>2909</v>
      </c>
    </row>
    <row r="522" spans="1:4" ht="34.200000000000003" x14ac:dyDescent="0.25">
      <c r="A522" s="964" t="s">
        <v>1143</v>
      </c>
      <c r="B522" s="964" t="s">
        <v>1339</v>
      </c>
      <c r="C522" s="964" t="s">
        <v>1632</v>
      </c>
      <c r="D522" s="965" t="s">
        <v>2910</v>
      </c>
    </row>
    <row r="523" spans="1:4" ht="22.8" x14ac:dyDescent="0.25">
      <c r="A523" s="964" t="s">
        <v>1144</v>
      </c>
      <c r="B523" s="964" t="s">
        <v>1340</v>
      </c>
      <c r="C523" s="964" t="s">
        <v>1633</v>
      </c>
      <c r="D523" s="965" t="s">
        <v>2911</v>
      </c>
    </row>
    <row r="524" spans="1:4" x14ac:dyDescent="0.25">
      <c r="A524" s="960" t="s">
        <v>66</v>
      </c>
      <c r="B524" s="961" t="s">
        <v>1178</v>
      </c>
      <c r="C524" s="961" t="s">
        <v>1765</v>
      </c>
      <c r="D524" s="962" t="s">
        <v>2912</v>
      </c>
    </row>
    <row r="525" spans="1:4" ht="205.2" x14ac:dyDescent="0.25">
      <c r="A525" s="963" t="s">
        <v>579</v>
      </c>
      <c r="B525" s="964" t="s">
        <v>1442</v>
      </c>
      <c r="C525" s="964" t="s">
        <v>2368</v>
      </c>
      <c r="D525" s="965" t="s">
        <v>2913</v>
      </c>
    </row>
    <row r="526" spans="1:4" x14ac:dyDescent="0.25">
      <c r="A526" s="960" t="s">
        <v>73</v>
      </c>
      <c r="B526" s="961" t="s">
        <v>586</v>
      </c>
      <c r="C526" s="961" t="s">
        <v>1487</v>
      </c>
      <c r="D526" s="962" t="s">
        <v>2914</v>
      </c>
    </row>
    <row r="527" spans="1:4" ht="114" x14ac:dyDescent="0.25">
      <c r="A527" s="963" t="s">
        <v>580</v>
      </c>
      <c r="B527" s="964" t="s">
        <v>1443</v>
      </c>
      <c r="C527" s="964" t="s">
        <v>2369</v>
      </c>
      <c r="D527" s="965" t="s">
        <v>2915</v>
      </c>
    </row>
    <row r="528" spans="1:4" ht="34.200000000000003" x14ac:dyDescent="0.25">
      <c r="A528" s="963" t="s">
        <v>183</v>
      </c>
      <c r="B528" s="964" t="s">
        <v>1179</v>
      </c>
      <c r="C528" s="964" t="s">
        <v>2255</v>
      </c>
      <c r="D528" s="965" t="s">
        <v>2916</v>
      </c>
    </row>
    <row r="529" spans="1:4" s="970" customFormat="1" ht="22.8" x14ac:dyDescent="0.25">
      <c r="A529" s="963" t="s">
        <v>184</v>
      </c>
      <c r="B529" s="964" t="s">
        <v>588</v>
      </c>
      <c r="C529" s="964" t="s">
        <v>2256</v>
      </c>
      <c r="D529" s="965" t="s">
        <v>2917</v>
      </c>
    </row>
    <row r="530" spans="1:4" ht="22.8" x14ac:dyDescent="0.25">
      <c r="A530" s="963" t="s">
        <v>185</v>
      </c>
      <c r="B530" s="964" t="s">
        <v>1180</v>
      </c>
      <c r="C530" s="964" t="s">
        <v>2257</v>
      </c>
      <c r="D530" s="965" t="s">
        <v>2918</v>
      </c>
    </row>
    <row r="531" spans="1:4" ht="34.200000000000003" x14ac:dyDescent="0.25">
      <c r="A531" s="963" t="s">
        <v>186</v>
      </c>
      <c r="B531" s="964" t="s">
        <v>1181</v>
      </c>
      <c r="C531" s="964" t="s">
        <v>2258</v>
      </c>
      <c r="D531" s="965" t="s">
        <v>2919</v>
      </c>
    </row>
    <row r="532" spans="1:4" ht="34.200000000000003" x14ac:dyDescent="0.25">
      <c r="A532" s="963" t="s">
        <v>187</v>
      </c>
      <c r="B532" s="964" t="s">
        <v>1182</v>
      </c>
      <c r="C532" s="964" t="s">
        <v>1529</v>
      </c>
      <c r="D532" s="965" t="s">
        <v>2920</v>
      </c>
    </row>
    <row r="533" spans="1:4" ht="34.200000000000003" x14ac:dyDescent="0.25">
      <c r="A533" s="963" t="s">
        <v>188</v>
      </c>
      <c r="B533" s="964" t="s">
        <v>1183</v>
      </c>
      <c r="C533" s="964" t="s">
        <v>1530</v>
      </c>
      <c r="D533" s="965" t="s">
        <v>2921</v>
      </c>
    </row>
    <row r="534" spans="1:4" ht="22.8" x14ac:dyDescent="0.25">
      <c r="A534" s="963" t="s">
        <v>189</v>
      </c>
      <c r="B534" s="964" t="s">
        <v>1184</v>
      </c>
      <c r="C534" s="964" t="s">
        <v>1531</v>
      </c>
      <c r="D534" s="965" t="s">
        <v>2922</v>
      </c>
    </row>
    <row r="535" spans="1:4" ht="22.8" x14ac:dyDescent="0.25">
      <c r="A535" s="963" t="s">
        <v>190</v>
      </c>
      <c r="B535" s="964" t="s">
        <v>589</v>
      </c>
      <c r="C535" s="964" t="s">
        <v>1532</v>
      </c>
      <c r="D535" s="965" t="s">
        <v>2923</v>
      </c>
    </row>
    <row r="536" spans="1:4" ht="22.8" x14ac:dyDescent="0.25">
      <c r="A536" s="963" t="s">
        <v>191</v>
      </c>
      <c r="B536" s="964" t="s">
        <v>1185</v>
      </c>
      <c r="C536" s="964" t="s">
        <v>789</v>
      </c>
      <c r="D536" s="965" t="s">
        <v>2924</v>
      </c>
    </row>
    <row r="537" spans="1:4" ht="22.8" x14ac:dyDescent="0.25">
      <c r="A537" s="963" t="s">
        <v>192</v>
      </c>
      <c r="B537" s="964" t="s">
        <v>590</v>
      </c>
      <c r="C537" s="964" t="s">
        <v>2370</v>
      </c>
      <c r="D537" s="965" t="s">
        <v>2925</v>
      </c>
    </row>
    <row r="538" spans="1:4" ht="22.8" x14ac:dyDescent="0.25">
      <c r="A538" s="963" t="s">
        <v>193</v>
      </c>
      <c r="B538" s="964" t="s">
        <v>1186</v>
      </c>
      <c r="C538" s="964" t="s">
        <v>1767</v>
      </c>
      <c r="D538" s="965" t="s">
        <v>2926</v>
      </c>
    </row>
    <row r="539" spans="1:4" ht="34.200000000000003" x14ac:dyDescent="0.25">
      <c r="A539" s="963" t="s">
        <v>195</v>
      </c>
      <c r="B539" s="964" t="s">
        <v>1187</v>
      </c>
      <c r="C539" s="964" t="s">
        <v>1533</v>
      </c>
      <c r="D539" s="965" t="s">
        <v>2927</v>
      </c>
    </row>
    <row r="540" spans="1:4" x14ac:dyDescent="0.25">
      <c r="A540" s="960" t="s">
        <v>76</v>
      </c>
      <c r="B540" s="961" t="s">
        <v>1433</v>
      </c>
      <c r="C540" s="961" t="s">
        <v>1488</v>
      </c>
      <c r="D540" s="962" t="s">
        <v>2928</v>
      </c>
    </row>
    <row r="541" spans="1:4" ht="114" x14ac:dyDescent="0.25">
      <c r="A541" s="963" t="s">
        <v>587</v>
      </c>
      <c r="B541" s="964" t="s">
        <v>581</v>
      </c>
      <c r="C541" s="964" t="s">
        <v>2371</v>
      </c>
      <c r="D541" s="965" t="s">
        <v>2929</v>
      </c>
    </row>
    <row r="542" spans="1:4" ht="34.200000000000003" x14ac:dyDescent="0.25">
      <c r="A542" s="963" t="s">
        <v>197</v>
      </c>
      <c r="B542" s="964" t="s">
        <v>1188</v>
      </c>
      <c r="C542" s="964" t="s">
        <v>2259</v>
      </c>
      <c r="D542" s="965" t="s">
        <v>2930</v>
      </c>
    </row>
    <row r="543" spans="1:4" ht="22.8" x14ac:dyDescent="0.25">
      <c r="A543" s="963" t="s">
        <v>198</v>
      </c>
      <c r="B543" s="964" t="s">
        <v>582</v>
      </c>
      <c r="C543" s="964" t="s">
        <v>2260</v>
      </c>
      <c r="D543" s="965" t="s">
        <v>2931</v>
      </c>
    </row>
    <row r="544" spans="1:4" ht="34.200000000000003" x14ac:dyDescent="0.25">
      <c r="A544" s="963" t="s">
        <v>199</v>
      </c>
      <c r="B544" s="964" t="s">
        <v>1189</v>
      </c>
      <c r="C544" s="964" t="s">
        <v>2261</v>
      </c>
      <c r="D544" s="965" t="s">
        <v>2932</v>
      </c>
    </row>
    <row r="545" spans="1:4" s="973" customFormat="1" ht="34.200000000000003" x14ac:dyDescent="0.2">
      <c r="A545" s="963" t="s">
        <v>200</v>
      </c>
      <c r="B545" s="964" t="s">
        <v>1190</v>
      </c>
      <c r="C545" s="964" t="s">
        <v>2372</v>
      </c>
      <c r="D545" s="965" t="s">
        <v>2933</v>
      </c>
    </row>
    <row r="546" spans="1:4" ht="22.8" x14ac:dyDescent="0.25">
      <c r="A546" s="963" t="s">
        <v>201</v>
      </c>
      <c r="B546" s="964" t="s">
        <v>583</v>
      </c>
      <c r="C546" s="964" t="s">
        <v>1534</v>
      </c>
      <c r="D546" s="965" t="s">
        <v>2934</v>
      </c>
    </row>
    <row r="547" spans="1:4" ht="22.8" x14ac:dyDescent="0.25">
      <c r="A547" s="963" t="s">
        <v>202</v>
      </c>
      <c r="B547" s="964" t="s">
        <v>584</v>
      </c>
      <c r="C547" s="964" t="s">
        <v>1535</v>
      </c>
      <c r="D547" s="965" t="s">
        <v>2935</v>
      </c>
    </row>
    <row r="548" spans="1:4" ht="45.6" x14ac:dyDescent="0.25">
      <c r="A548" s="963" t="s">
        <v>203</v>
      </c>
      <c r="B548" s="964" t="s">
        <v>1191</v>
      </c>
      <c r="C548" s="964" t="s">
        <v>1536</v>
      </c>
      <c r="D548" s="965" t="s">
        <v>2936</v>
      </c>
    </row>
    <row r="549" spans="1:4" ht="22.8" x14ac:dyDescent="0.25">
      <c r="A549" s="963" t="s">
        <v>204</v>
      </c>
      <c r="B549" s="964" t="s">
        <v>1192</v>
      </c>
      <c r="C549" s="964" t="s">
        <v>1537</v>
      </c>
      <c r="D549" s="965" t="s">
        <v>2937</v>
      </c>
    </row>
    <row r="550" spans="1:4" ht="22.8" x14ac:dyDescent="0.25">
      <c r="A550" s="963" t="s">
        <v>205</v>
      </c>
      <c r="B550" s="964" t="s">
        <v>1193</v>
      </c>
      <c r="C550" s="964" t="s">
        <v>1768</v>
      </c>
      <c r="D550" s="965" t="s">
        <v>2938</v>
      </c>
    </row>
    <row r="551" spans="1:4" ht="22.8" x14ac:dyDescent="0.25">
      <c r="A551" s="963" t="s">
        <v>207</v>
      </c>
      <c r="B551" s="964" t="s">
        <v>585</v>
      </c>
      <c r="C551" s="964" t="s">
        <v>1769</v>
      </c>
      <c r="D551" s="965" t="s">
        <v>2939</v>
      </c>
    </row>
    <row r="552" spans="1:4" ht="34.200000000000003" x14ac:dyDescent="0.25">
      <c r="A552" s="963" t="s">
        <v>209</v>
      </c>
      <c r="B552" s="964" t="s">
        <v>1194</v>
      </c>
      <c r="C552" s="964" t="s">
        <v>1770</v>
      </c>
      <c r="D552" s="965" t="s">
        <v>2940</v>
      </c>
    </row>
    <row r="553" spans="1:4" x14ac:dyDescent="0.25">
      <c r="A553" s="960" t="s">
        <v>79</v>
      </c>
      <c r="B553" s="961" t="s">
        <v>454</v>
      </c>
      <c r="C553" s="961" t="s">
        <v>790</v>
      </c>
      <c r="D553" s="962" t="s">
        <v>2464</v>
      </c>
    </row>
    <row r="554" spans="1:4" ht="68.400000000000006" x14ac:dyDescent="0.25">
      <c r="A554" s="963" t="s">
        <v>591</v>
      </c>
      <c r="B554" s="964" t="s">
        <v>456</v>
      </c>
      <c r="C554" s="964" t="s">
        <v>921</v>
      </c>
      <c r="D554" s="965" t="s">
        <v>2465</v>
      </c>
    </row>
    <row r="555" spans="1:4" ht="22.8" x14ac:dyDescent="0.25">
      <c r="A555" s="963" t="s">
        <v>215</v>
      </c>
      <c r="B555" s="964" t="s">
        <v>1195</v>
      </c>
      <c r="C555" s="964" t="s">
        <v>1538</v>
      </c>
      <c r="D555" s="965" t="s">
        <v>2941</v>
      </c>
    </row>
    <row r="556" spans="1:4" ht="22.8" x14ac:dyDescent="0.25">
      <c r="A556" s="963" t="s">
        <v>216</v>
      </c>
      <c r="B556" s="964" t="s">
        <v>592</v>
      </c>
      <c r="C556" s="964" t="s">
        <v>1539</v>
      </c>
      <c r="D556" s="965" t="s">
        <v>2942</v>
      </c>
    </row>
    <row r="557" spans="1:4" ht="34.200000000000003" x14ac:dyDescent="0.25">
      <c r="A557" s="963" t="s">
        <v>217</v>
      </c>
      <c r="B557" s="964" t="s">
        <v>1196</v>
      </c>
      <c r="C557" s="964" t="s">
        <v>2349</v>
      </c>
      <c r="D557" s="965" t="s">
        <v>2943</v>
      </c>
    </row>
    <row r="558" spans="1:4" ht="22.8" x14ac:dyDescent="0.25">
      <c r="A558" s="963" t="s">
        <v>218</v>
      </c>
      <c r="B558" s="964" t="s">
        <v>593</v>
      </c>
      <c r="C558" s="964" t="s">
        <v>1540</v>
      </c>
      <c r="D558" s="965" t="s">
        <v>2944</v>
      </c>
    </row>
    <row r="559" spans="1:4" ht="34.200000000000003" x14ac:dyDescent="0.25">
      <c r="A559" s="963" t="s">
        <v>219</v>
      </c>
      <c r="B559" s="964" t="s">
        <v>1197</v>
      </c>
      <c r="C559" s="964" t="s">
        <v>1541</v>
      </c>
      <c r="D559" s="965" t="s">
        <v>2945</v>
      </c>
    </row>
    <row r="560" spans="1:4" ht="22.8" x14ac:dyDescent="0.25">
      <c r="A560" s="963" t="s">
        <v>220</v>
      </c>
      <c r="B560" s="964" t="s">
        <v>1198</v>
      </c>
      <c r="C560" s="964" t="s">
        <v>1542</v>
      </c>
      <c r="D560" s="965" t="s">
        <v>2946</v>
      </c>
    </row>
    <row r="561" spans="1:4" x14ac:dyDescent="0.25">
      <c r="A561" s="960" t="s">
        <v>77</v>
      </c>
      <c r="B561" s="961" t="s">
        <v>1341</v>
      </c>
      <c r="C561" s="961" t="s">
        <v>1757</v>
      </c>
      <c r="D561" s="962" t="s">
        <v>2947</v>
      </c>
    </row>
    <row r="562" spans="1:4" ht="171" x14ac:dyDescent="0.25">
      <c r="A562" s="963" t="s">
        <v>632</v>
      </c>
      <c r="B562" s="964" t="s">
        <v>1471</v>
      </c>
      <c r="C562" s="964" t="s">
        <v>865</v>
      </c>
      <c r="D562" s="965" t="s">
        <v>2948</v>
      </c>
    </row>
    <row r="563" spans="1:4" x14ac:dyDescent="0.25">
      <c r="A563" s="960" t="s">
        <v>110</v>
      </c>
      <c r="B563" s="961" t="s">
        <v>633</v>
      </c>
      <c r="C563" s="961" t="s">
        <v>788</v>
      </c>
      <c r="D563" s="962" t="s">
        <v>2949</v>
      </c>
    </row>
    <row r="564" spans="1:4" ht="114" x14ac:dyDescent="0.25">
      <c r="A564" s="963" t="s">
        <v>634</v>
      </c>
      <c r="B564" s="964" t="s">
        <v>1467</v>
      </c>
      <c r="C564" s="964" t="s">
        <v>866</v>
      </c>
      <c r="D564" s="965" t="s">
        <v>2950</v>
      </c>
    </row>
    <row r="565" spans="1:4" ht="34.200000000000003" x14ac:dyDescent="0.25">
      <c r="A565" s="963" t="s">
        <v>315</v>
      </c>
      <c r="B565" s="964" t="s">
        <v>635</v>
      </c>
      <c r="C565" s="964" t="s">
        <v>2262</v>
      </c>
      <c r="D565" s="965" t="s">
        <v>2951</v>
      </c>
    </row>
    <row r="566" spans="1:4" ht="22.8" x14ac:dyDescent="0.25">
      <c r="A566" s="963" t="s">
        <v>316</v>
      </c>
      <c r="B566" s="964" t="s">
        <v>636</v>
      </c>
      <c r="C566" s="964" t="s">
        <v>2263</v>
      </c>
      <c r="D566" s="965" t="s">
        <v>2952</v>
      </c>
    </row>
    <row r="567" spans="1:4" ht="22.8" x14ac:dyDescent="0.25">
      <c r="A567" s="963" t="s">
        <v>317</v>
      </c>
      <c r="B567" s="964" t="s">
        <v>1342</v>
      </c>
      <c r="C567" s="964" t="s">
        <v>2373</v>
      </c>
      <c r="D567" s="965" t="s">
        <v>2953</v>
      </c>
    </row>
    <row r="568" spans="1:4" x14ac:dyDescent="0.25">
      <c r="A568" s="963" t="s">
        <v>318</v>
      </c>
      <c r="B568" s="964" t="s">
        <v>1343</v>
      </c>
      <c r="C568" s="964" t="s">
        <v>1634</v>
      </c>
      <c r="D568" s="965" t="s">
        <v>2954</v>
      </c>
    </row>
    <row r="569" spans="1:4" ht="45.6" x14ac:dyDescent="0.25">
      <c r="A569" s="963" t="s">
        <v>319</v>
      </c>
      <c r="B569" s="964" t="s">
        <v>1344</v>
      </c>
      <c r="C569" s="964" t="s">
        <v>1635</v>
      </c>
      <c r="D569" s="965" t="s">
        <v>2955</v>
      </c>
    </row>
    <row r="570" spans="1:4" ht="34.200000000000003" x14ac:dyDescent="0.25">
      <c r="A570" s="963" t="s">
        <v>320</v>
      </c>
      <c r="B570" s="964" t="s">
        <v>637</v>
      </c>
      <c r="C570" s="964" t="s">
        <v>2374</v>
      </c>
      <c r="D570" s="965" t="s">
        <v>2956</v>
      </c>
    </row>
    <row r="571" spans="1:4" x14ac:dyDescent="0.25">
      <c r="A571" s="960" t="s">
        <v>112</v>
      </c>
      <c r="B571" s="961" t="s">
        <v>638</v>
      </c>
      <c r="C571" s="961" t="s">
        <v>1501</v>
      </c>
      <c r="D571" s="962" t="s">
        <v>2957</v>
      </c>
    </row>
    <row r="572" spans="1:4" ht="136.80000000000001" x14ac:dyDescent="0.25">
      <c r="A572" s="963" t="s">
        <v>639</v>
      </c>
      <c r="B572" s="964" t="s">
        <v>640</v>
      </c>
      <c r="C572" s="964" t="s">
        <v>2375</v>
      </c>
      <c r="D572" s="965" t="s">
        <v>2958</v>
      </c>
    </row>
    <row r="573" spans="1:4" ht="34.200000000000003" x14ac:dyDescent="0.25">
      <c r="A573" s="963" t="s">
        <v>321</v>
      </c>
      <c r="B573" s="964" t="s">
        <v>641</v>
      </c>
      <c r="C573" s="964" t="s">
        <v>2264</v>
      </c>
      <c r="D573" s="965" t="s">
        <v>2959</v>
      </c>
    </row>
    <row r="574" spans="1:4" ht="45.6" x14ac:dyDescent="0.25">
      <c r="A574" s="963" t="s">
        <v>322</v>
      </c>
      <c r="B574" s="964" t="s">
        <v>1345</v>
      </c>
      <c r="C574" s="964" t="s">
        <v>2265</v>
      </c>
      <c r="D574" s="965" t="s">
        <v>2960</v>
      </c>
    </row>
    <row r="575" spans="1:4" ht="34.200000000000003" x14ac:dyDescent="0.25">
      <c r="A575" s="963" t="s">
        <v>323</v>
      </c>
      <c r="B575" s="964" t="s">
        <v>642</v>
      </c>
      <c r="C575" s="964" t="s">
        <v>1792</v>
      </c>
      <c r="D575" s="965" t="s">
        <v>2961</v>
      </c>
    </row>
    <row r="576" spans="1:4" ht="34.200000000000003" x14ac:dyDescent="0.25">
      <c r="A576" s="963" t="s">
        <v>324</v>
      </c>
      <c r="B576" s="964" t="s">
        <v>1346</v>
      </c>
      <c r="C576" s="964" t="s">
        <v>1636</v>
      </c>
      <c r="D576" s="965" t="s">
        <v>2962</v>
      </c>
    </row>
    <row r="577" spans="1:4" ht="22.8" x14ac:dyDescent="0.25">
      <c r="A577" s="963" t="s">
        <v>325</v>
      </c>
      <c r="B577" s="964" t="s">
        <v>1347</v>
      </c>
      <c r="C577" s="964" t="s">
        <v>2402</v>
      </c>
      <c r="D577" s="965" t="s">
        <v>2963</v>
      </c>
    </row>
    <row r="578" spans="1:4" ht="34.200000000000003" x14ac:dyDescent="0.25">
      <c r="A578" s="963" t="s">
        <v>326</v>
      </c>
      <c r="B578" s="964" t="s">
        <v>643</v>
      </c>
      <c r="C578" s="964" t="s">
        <v>786</v>
      </c>
      <c r="D578" s="965" t="s">
        <v>2964</v>
      </c>
    </row>
    <row r="579" spans="1:4" x14ac:dyDescent="0.25">
      <c r="A579" s="960" t="s">
        <v>114</v>
      </c>
      <c r="B579" s="961" t="s">
        <v>644</v>
      </c>
      <c r="C579" s="961" t="s">
        <v>1502</v>
      </c>
      <c r="D579" s="962" t="s">
        <v>2965</v>
      </c>
    </row>
    <row r="580" spans="1:4" ht="102.6" x14ac:dyDescent="0.25">
      <c r="A580" s="963" t="s">
        <v>645</v>
      </c>
      <c r="B580" s="964" t="s">
        <v>1468</v>
      </c>
      <c r="C580" s="964" t="s">
        <v>867</v>
      </c>
      <c r="D580" s="965" t="s">
        <v>2966</v>
      </c>
    </row>
    <row r="581" spans="1:4" ht="34.200000000000003" x14ac:dyDescent="0.25">
      <c r="A581" s="963" t="s">
        <v>327</v>
      </c>
      <c r="B581" s="964" t="s">
        <v>1348</v>
      </c>
      <c r="C581" s="964" t="s">
        <v>2266</v>
      </c>
      <c r="D581" s="965" t="s">
        <v>2967</v>
      </c>
    </row>
    <row r="582" spans="1:4" ht="34.200000000000003" x14ac:dyDescent="0.25">
      <c r="A582" s="963" t="s">
        <v>328</v>
      </c>
      <c r="B582" s="964" t="s">
        <v>1349</v>
      </c>
      <c r="C582" s="964" t="s">
        <v>2267</v>
      </c>
      <c r="D582" s="965" t="s">
        <v>2968</v>
      </c>
    </row>
    <row r="583" spans="1:4" ht="34.200000000000003" x14ac:dyDescent="0.25">
      <c r="A583" s="963" t="s">
        <v>329</v>
      </c>
      <c r="B583" s="964" t="s">
        <v>1350</v>
      </c>
      <c r="C583" s="964" t="s">
        <v>1637</v>
      </c>
      <c r="D583" s="965" t="s">
        <v>2969</v>
      </c>
    </row>
    <row r="584" spans="1:4" ht="22.8" x14ac:dyDescent="0.25">
      <c r="A584" s="963" t="s">
        <v>330</v>
      </c>
      <c r="B584" s="964" t="s">
        <v>646</v>
      </c>
      <c r="C584" s="964" t="s">
        <v>1638</v>
      </c>
      <c r="D584" s="965" t="s">
        <v>2970</v>
      </c>
    </row>
    <row r="585" spans="1:4" ht="22.8" x14ac:dyDescent="0.25">
      <c r="A585" s="963" t="s">
        <v>331</v>
      </c>
      <c r="B585" s="964" t="s">
        <v>1351</v>
      </c>
      <c r="C585" s="964" t="s">
        <v>1639</v>
      </c>
      <c r="D585" s="965" t="s">
        <v>2971</v>
      </c>
    </row>
    <row r="586" spans="1:4" ht="34.200000000000003" x14ac:dyDescent="0.25">
      <c r="A586" s="963" t="s">
        <v>332</v>
      </c>
      <c r="B586" s="964" t="s">
        <v>647</v>
      </c>
      <c r="C586" s="964" t="s">
        <v>2376</v>
      </c>
      <c r="D586" s="965" t="s">
        <v>2972</v>
      </c>
    </row>
    <row r="587" spans="1:4" ht="34.200000000000003" x14ac:dyDescent="0.25">
      <c r="A587" s="963" t="s">
        <v>1077</v>
      </c>
      <c r="B587" s="964" t="s">
        <v>648</v>
      </c>
      <c r="C587" s="964" t="s">
        <v>2268</v>
      </c>
      <c r="D587" s="965" t="s">
        <v>2973</v>
      </c>
    </row>
    <row r="588" spans="1:4" x14ac:dyDescent="0.25">
      <c r="A588" s="960" t="s">
        <v>116</v>
      </c>
      <c r="B588" s="961" t="s">
        <v>649</v>
      </c>
      <c r="C588" s="961" t="s">
        <v>1503</v>
      </c>
      <c r="D588" s="962" t="s">
        <v>2974</v>
      </c>
    </row>
    <row r="589" spans="1:4" ht="171" x14ac:dyDescent="0.25">
      <c r="A589" s="963" t="s">
        <v>650</v>
      </c>
      <c r="B589" s="964" t="s">
        <v>1469</v>
      </c>
      <c r="C589" s="964" t="s">
        <v>927</v>
      </c>
      <c r="D589" s="965" t="s">
        <v>2975</v>
      </c>
    </row>
    <row r="590" spans="1:4" ht="22.8" x14ac:dyDescent="0.25">
      <c r="A590" s="963" t="s">
        <v>333</v>
      </c>
      <c r="B590" s="964" t="s">
        <v>651</v>
      </c>
      <c r="C590" s="964" t="s">
        <v>2269</v>
      </c>
      <c r="D590" s="965" t="s">
        <v>2976</v>
      </c>
    </row>
    <row r="591" spans="1:4" ht="22.8" x14ac:dyDescent="0.25">
      <c r="A591" s="963" t="s">
        <v>334</v>
      </c>
      <c r="B591" s="964" t="s">
        <v>1352</v>
      </c>
      <c r="C591" s="964" t="s">
        <v>1640</v>
      </c>
      <c r="D591" s="965" t="s">
        <v>2977</v>
      </c>
    </row>
    <row r="592" spans="1:4" ht="22.8" x14ac:dyDescent="0.25">
      <c r="A592" s="963" t="s">
        <v>335</v>
      </c>
      <c r="B592" s="964" t="s">
        <v>1353</v>
      </c>
      <c r="C592" s="964" t="s">
        <v>1793</v>
      </c>
      <c r="D592" s="965" t="s">
        <v>2978</v>
      </c>
    </row>
    <row r="593" spans="1:4" ht="34.200000000000003" x14ac:dyDescent="0.25">
      <c r="A593" s="963" t="s">
        <v>336</v>
      </c>
      <c r="B593" s="964" t="s">
        <v>652</v>
      </c>
      <c r="C593" s="964" t="s">
        <v>1794</v>
      </c>
      <c r="D593" s="965" t="s">
        <v>2979</v>
      </c>
    </row>
    <row r="594" spans="1:4" ht="45.6" x14ac:dyDescent="0.25">
      <c r="A594" s="963" t="s">
        <v>337</v>
      </c>
      <c r="B594" s="964" t="s">
        <v>1354</v>
      </c>
      <c r="C594" s="964" t="s">
        <v>1641</v>
      </c>
      <c r="D594" s="965" t="s">
        <v>2980</v>
      </c>
    </row>
    <row r="595" spans="1:4" x14ac:dyDescent="0.25">
      <c r="A595" s="960" t="s">
        <v>118</v>
      </c>
      <c r="B595" s="961" t="s">
        <v>454</v>
      </c>
      <c r="C595" s="961" t="s">
        <v>790</v>
      </c>
      <c r="D595" s="962" t="s">
        <v>2464</v>
      </c>
    </row>
    <row r="596" spans="1:4" ht="68.400000000000006" x14ac:dyDescent="0.25">
      <c r="A596" s="963" t="s">
        <v>653</v>
      </c>
      <c r="B596" s="964" t="s">
        <v>456</v>
      </c>
      <c r="C596" s="964" t="s">
        <v>921</v>
      </c>
      <c r="D596" s="965" t="s">
        <v>2465</v>
      </c>
    </row>
    <row r="597" spans="1:4" ht="22.8" x14ac:dyDescent="0.25">
      <c r="A597" s="963" t="s">
        <v>338</v>
      </c>
      <c r="B597" s="964" t="s">
        <v>1355</v>
      </c>
      <c r="C597" s="964" t="s">
        <v>1642</v>
      </c>
      <c r="D597" s="965" t="s">
        <v>2981</v>
      </c>
    </row>
    <row r="598" spans="1:4" ht="22.8" x14ac:dyDescent="0.25">
      <c r="A598" s="963" t="s">
        <v>339</v>
      </c>
      <c r="B598" s="964" t="s">
        <v>654</v>
      </c>
      <c r="C598" s="964" t="s">
        <v>1643</v>
      </c>
      <c r="D598" s="965" t="s">
        <v>2982</v>
      </c>
    </row>
    <row r="599" spans="1:4" ht="34.200000000000003" x14ac:dyDescent="0.25">
      <c r="A599" s="963" t="s">
        <v>340</v>
      </c>
      <c r="B599" s="964" t="s">
        <v>1356</v>
      </c>
      <c r="C599" s="964" t="s">
        <v>2350</v>
      </c>
      <c r="D599" s="965" t="s">
        <v>2983</v>
      </c>
    </row>
    <row r="600" spans="1:4" ht="22.8" x14ac:dyDescent="0.25">
      <c r="A600" s="963" t="s">
        <v>341</v>
      </c>
      <c r="B600" s="964" t="s">
        <v>655</v>
      </c>
      <c r="C600" s="964" t="s">
        <v>1644</v>
      </c>
      <c r="D600" s="965" t="s">
        <v>2984</v>
      </c>
    </row>
    <row r="601" spans="1:4" ht="34.200000000000003" x14ac:dyDescent="0.25">
      <c r="A601" s="963" t="s">
        <v>342</v>
      </c>
      <c r="B601" s="964" t="s">
        <v>1357</v>
      </c>
      <c r="C601" s="964" t="s">
        <v>1645</v>
      </c>
      <c r="D601" s="965" t="s">
        <v>2985</v>
      </c>
    </row>
    <row r="602" spans="1:4" ht="22.8" x14ac:dyDescent="0.25">
      <c r="A602" s="963" t="s">
        <v>343</v>
      </c>
      <c r="B602" s="964" t="s">
        <v>1358</v>
      </c>
      <c r="C602" s="964" t="s">
        <v>1646</v>
      </c>
      <c r="D602" s="965" t="s">
        <v>2986</v>
      </c>
    </row>
    <row r="603" spans="1:4" x14ac:dyDescent="0.25">
      <c r="A603" s="974"/>
      <c r="D603" s="975"/>
    </row>
    <row r="604" spans="1:4" x14ac:dyDescent="0.25">
      <c r="A604" s="974"/>
      <c r="D604" s="975"/>
    </row>
    <row r="605" spans="1:4" x14ac:dyDescent="0.25">
      <c r="A605" s="974"/>
      <c r="D605" s="975"/>
    </row>
    <row r="606" spans="1:4" x14ac:dyDescent="0.25">
      <c r="A606" s="974"/>
      <c r="D606" s="975"/>
    </row>
    <row r="607" spans="1:4" x14ac:dyDescent="0.25">
      <c r="A607" s="974"/>
      <c r="C607" s="970"/>
      <c r="D607" s="975"/>
    </row>
    <row r="608" spans="1:4" x14ac:dyDescent="0.25">
      <c r="A608" s="974"/>
      <c r="D608" s="975"/>
    </row>
    <row r="609" spans="1:4" x14ac:dyDescent="0.25">
      <c r="A609" s="974"/>
      <c r="D609" s="975"/>
    </row>
    <row r="610" spans="1:4" x14ac:dyDescent="0.25">
      <c r="A610" s="974"/>
      <c r="D610" s="975"/>
    </row>
    <row r="611" spans="1:4" x14ac:dyDescent="0.25">
      <c r="A611" s="974"/>
      <c r="D611" s="975"/>
    </row>
    <row r="612" spans="1:4" x14ac:dyDescent="0.25">
      <c r="A612" s="974"/>
      <c r="D612" s="975"/>
    </row>
    <row r="613" spans="1:4" x14ac:dyDescent="0.25">
      <c r="A613" s="974"/>
      <c r="D613" s="975"/>
    </row>
    <row r="614" spans="1:4" x14ac:dyDescent="0.25">
      <c r="A614" s="974"/>
      <c r="D614" s="975"/>
    </row>
    <row r="615" spans="1:4" x14ac:dyDescent="0.25">
      <c r="A615" s="974"/>
      <c r="C615" s="970"/>
      <c r="D615" s="975"/>
    </row>
    <row r="616" spans="1:4" x14ac:dyDescent="0.25">
      <c r="A616" s="974"/>
      <c r="D616" s="975"/>
    </row>
    <row r="617" spans="1:4" x14ac:dyDescent="0.25">
      <c r="A617" s="974"/>
      <c r="D617" s="975"/>
    </row>
    <row r="618" spans="1:4" s="973" customFormat="1" x14ac:dyDescent="0.2">
      <c r="A618" s="974"/>
      <c r="B618" s="971"/>
      <c r="C618" s="971"/>
      <c r="D618" s="975"/>
    </row>
    <row r="619" spans="1:4" x14ac:dyDescent="0.25">
      <c r="A619" s="974"/>
      <c r="D619" s="975"/>
    </row>
    <row r="620" spans="1:4" x14ac:dyDescent="0.25">
      <c r="A620" s="974"/>
      <c r="D620" s="975"/>
    </row>
    <row r="621" spans="1:4" x14ac:dyDescent="0.25">
      <c r="A621" s="974"/>
      <c r="D621" s="975"/>
    </row>
    <row r="622" spans="1:4" x14ac:dyDescent="0.25">
      <c r="A622" s="974"/>
      <c r="C622" s="970"/>
      <c r="D622" s="975"/>
    </row>
    <row r="623" spans="1:4" x14ac:dyDescent="0.25">
      <c r="A623" s="974"/>
      <c r="D623" s="975"/>
    </row>
    <row r="624" spans="1:4" x14ac:dyDescent="0.25">
      <c r="A624" s="974"/>
      <c r="D624" s="975"/>
    </row>
    <row r="625" spans="1:4" x14ac:dyDescent="0.25">
      <c r="A625" s="974"/>
      <c r="D625" s="975"/>
    </row>
    <row r="626" spans="1:4" x14ac:dyDescent="0.25">
      <c r="A626" s="974"/>
      <c r="D626" s="975"/>
    </row>
    <row r="627" spans="1:4" x14ac:dyDescent="0.25">
      <c r="A627" s="974"/>
      <c r="D627" s="975"/>
    </row>
    <row r="628" spans="1:4" x14ac:dyDescent="0.25">
      <c r="A628" s="974"/>
      <c r="D628" s="975"/>
    </row>
    <row r="629" spans="1:4" x14ac:dyDescent="0.25">
      <c r="A629" s="974"/>
      <c r="D629" s="975"/>
    </row>
    <row r="630" spans="1:4" x14ac:dyDescent="0.25">
      <c r="A630" s="974"/>
      <c r="D630" s="975"/>
    </row>
  </sheetData>
  <sheetProtection sheet="1" formatCells="0" formatColumns="0" formatRows="0" autoFilter="0"/>
  <autoFilter ref="A1:D602">
    <sortState ref="A2:D598">
      <sortCondition ref="A1:A598"/>
    </sortState>
  </autoFilter>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tabColor theme="5"/>
  </sheetPr>
  <dimension ref="A1:G100"/>
  <sheetViews>
    <sheetView zoomScaleNormal="100" workbookViewId="0"/>
  </sheetViews>
  <sheetFormatPr defaultRowHeight="13.8" x14ac:dyDescent="0.25"/>
  <cols>
    <col min="1" max="1" width="34" customWidth="1"/>
    <col min="2" max="2" width="22.6328125" style="1" customWidth="1"/>
    <col min="3" max="3" width="5.6328125" customWidth="1"/>
    <col min="4" max="6" width="30.6328125" style="609" customWidth="1"/>
    <col min="7" max="7" width="23.453125" customWidth="1"/>
  </cols>
  <sheetData>
    <row r="1" spans="1:7" x14ac:dyDescent="0.25">
      <c r="A1" s="24" t="s">
        <v>930</v>
      </c>
      <c r="B1" s="76">
        <f>MATCH(Summary!H7,Languages!1:1,0)</f>
        <v>3</v>
      </c>
    </row>
    <row r="2" spans="1:7" x14ac:dyDescent="0.25">
      <c r="A2" s="24" t="s">
        <v>931</v>
      </c>
      <c r="B2" s="123" t="s">
        <v>776</v>
      </c>
      <c r="C2" s="125" t="s">
        <v>769</v>
      </c>
      <c r="D2" s="1072" t="s">
        <v>669</v>
      </c>
      <c r="E2" s="1072" t="s">
        <v>668</v>
      </c>
      <c r="F2" s="1073" t="s">
        <v>670</v>
      </c>
      <c r="G2" s="24" t="s">
        <v>459</v>
      </c>
    </row>
    <row r="3" spans="1:7" x14ac:dyDescent="0.25">
      <c r="A3" t="s">
        <v>460</v>
      </c>
      <c r="B3" s="74">
        <v>0.5</v>
      </c>
      <c r="G3" t="s">
        <v>461</v>
      </c>
    </row>
    <row r="4" spans="1:7" x14ac:dyDescent="0.25">
      <c r="A4" t="s">
        <v>463</v>
      </c>
      <c r="B4" s="1">
        <v>0.3</v>
      </c>
      <c r="G4" t="s">
        <v>464</v>
      </c>
    </row>
    <row r="5" spans="1:7" x14ac:dyDescent="0.25">
      <c r="A5" t="s">
        <v>465</v>
      </c>
      <c r="B5" s="1">
        <v>0.6</v>
      </c>
      <c r="G5" t="s">
        <v>466</v>
      </c>
    </row>
    <row r="6" spans="1:7" x14ac:dyDescent="0.25">
      <c r="A6" t="s">
        <v>467</v>
      </c>
      <c r="B6" s="1">
        <v>0.9</v>
      </c>
      <c r="G6" t="s">
        <v>468</v>
      </c>
    </row>
    <row r="7" spans="1:7" x14ac:dyDescent="0.25">
      <c r="A7" s="24" t="s">
        <v>462</v>
      </c>
      <c r="B7" s="1">
        <v>0</v>
      </c>
      <c r="C7" s="70">
        <v>0</v>
      </c>
      <c r="D7" s="609" t="s">
        <v>770</v>
      </c>
      <c r="E7" s="609" t="s">
        <v>731</v>
      </c>
      <c r="F7" s="609" t="s">
        <v>917</v>
      </c>
    </row>
    <row r="8" spans="1:7" x14ac:dyDescent="0.25">
      <c r="B8" s="1">
        <v>1</v>
      </c>
      <c r="C8" s="70">
        <v>1</v>
      </c>
      <c r="D8" s="609" t="s">
        <v>771</v>
      </c>
      <c r="E8" s="609" t="s">
        <v>735</v>
      </c>
      <c r="F8" s="609" t="s">
        <v>918</v>
      </c>
    </row>
    <row r="9" spans="1:7" x14ac:dyDescent="0.25">
      <c r="B9" s="1">
        <v>2</v>
      </c>
      <c r="C9" s="70">
        <v>2</v>
      </c>
      <c r="D9" s="609" t="s">
        <v>772</v>
      </c>
      <c r="E9" s="609" t="s">
        <v>736</v>
      </c>
      <c r="F9" s="609" t="s">
        <v>919</v>
      </c>
    </row>
    <row r="10" spans="1:7" x14ac:dyDescent="0.25">
      <c r="B10" s="1">
        <v>3</v>
      </c>
      <c r="C10" s="70">
        <v>3</v>
      </c>
      <c r="D10" s="609" t="s">
        <v>773</v>
      </c>
      <c r="E10" s="609" t="s">
        <v>732</v>
      </c>
      <c r="F10" s="609" t="s">
        <v>920</v>
      </c>
    </row>
    <row r="11" spans="1:7" x14ac:dyDescent="0.25">
      <c r="A11" s="24" t="s">
        <v>895</v>
      </c>
      <c r="B11" s="91" t="str">
        <f>VLOOKUP($C11,$C$11:$F$13,$B$1,FALSE)</f>
        <v>Organisaation nykytila</v>
      </c>
      <c r="C11" s="20">
        <v>0</v>
      </c>
      <c r="D11" s="609" t="s">
        <v>901</v>
      </c>
      <c r="E11" s="609" t="s">
        <v>734</v>
      </c>
      <c r="F11" s="609" t="s">
        <v>914</v>
      </c>
      <c r="G11" s="91" t="s">
        <v>1021</v>
      </c>
    </row>
    <row r="12" spans="1:7" x14ac:dyDescent="0.25">
      <c r="B12" s="91" t="str">
        <f>VLOOKUP($C12,$C$11:$F$13,$B$1,FALSE)</f>
        <v>Organisaation edellinen arviointi</v>
      </c>
      <c r="C12" s="20">
        <v>1</v>
      </c>
      <c r="D12" s="609" t="s">
        <v>902</v>
      </c>
      <c r="E12" s="609" t="s">
        <v>737</v>
      </c>
      <c r="F12" s="609" t="s">
        <v>915</v>
      </c>
    </row>
    <row r="13" spans="1:7" x14ac:dyDescent="0.25">
      <c r="B13" s="91" t="str">
        <f>VLOOKUP($C13,$C$11:$F$13,$B$1,FALSE)</f>
        <v>Referenssiryhmän keskiarvo</v>
      </c>
      <c r="C13" s="20">
        <v>2</v>
      </c>
      <c r="D13" s="609" t="s">
        <v>903</v>
      </c>
      <c r="E13" s="609" t="s">
        <v>896</v>
      </c>
      <c r="F13" s="609" t="s">
        <v>916</v>
      </c>
    </row>
    <row r="14" spans="1:7" x14ac:dyDescent="0.25">
      <c r="A14" s="24" t="s">
        <v>897</v>
      </c>
      <c r="B14" s="91" t="str">
        <f>VLOOKUP($C14,$C$14:$F$17,$B$1,FALSE)</f>
        <v>Kypsyystaso 0</v>
      </c>
      <c r="C14" s="20">
        <v>0</v>
      </c>
      <c r="D14" s="609" t="s">
        <v>770</v>
      </c>
      <c r="E14" s="609" t="s">
        <v>731</v>
      </c>
      <c r="F14" s="609" t="s">
        <v>917</v>
      </c>
    </row>
    <row r="15" spans="1:7" x14ac:dyDescent="0.25">
      <c r="B15" s="91" t="str">
        <f>VLOOKUP($C15,$C$14:$F$17,$B$1,FALSE)</f>
        <v>Kypsyystaso 1</v>
      </c>
      <c r="C15" s="20">
        <v>1</v>
      </c>
      <c r="D15" s="609" t="s">
        <v>771</v>
      </c>
      <c r="E15" s="609" t="s">
        <v>735</v>
      </c>
      <c r="F15" s="609" t="s">
        <v>918</v>
      </c>
    </row>
    <row r="16" spans="1:7" x14ac:dyDescent="0.25">
      <c r="B16" s="91" t="str">
        <f>VLOOKUP($C16,$C$14:$F$17,$B$1,FALSE)</f>
        <v>Kypsyystaso 2</v>
      </c>
      <c r="C16" s="20">
        <v>2</v>
      </c>
      <c r="D16" s="609" t="s">
        <v>772</v>
      </c>
      <c r="E16" s="609" t="s">
        <v>736</v>
      </c>
      <c r="F16" s="609" t="s">
        <v>919</v>
      </c>
    </row>
    <row r="17" spans="1:6" x14ac:dyDescent="0.25">
      <c r="B17" s="91" t="str">
        <f>VLOOKUP($C17,$C$14:$F$17,$B$1,FALSE)</f>
        <v>Kypsyystaso 3</v>
      </c>
      <c r="C17" s="20">
        <v>3</v>
      </c>
      <c r="D17" s="609" t="s">
        <v>773</v>
      </c>
      <c r="E17" s="609" t="s">
        <v>732</v>
      </c>
      <c r="F17" s="609" t="s">
        <v>920</v>
      </c>
    </row>
    <row r="18" spans="1:6" x14ac:dyDescent="0.25">
      <c r="A18" s="24" t="s">
        <v>469</v>
      </c>
      <c r="B18" s="126" t="str">
        <f>VLOOKUP($C18,$C$18:$F$22,$B$1,FALSE)</f>
        <v xml:space="preserve">0 - Vastaus puuttuu </v>
      </c>
      <c r="C18" s="125">
        <v>0</v>
      </c>
      <c r="D18" s="1074" t="s">
        <v>3029</v>
      </c>
      <c r="E18" s="1074" t="s">
        <v>3030</v>
      </c>
      <c r="F18" s="1075" t="s">
        <v>3032</v>
      </c>
    </row>
    <row r="19" spans="1:6" x14ac:dyDescent="0.25">
      <c r="B19" s="126" t="str">
        <f>VLOOKUP($C19,$C$18:$F$22,$B$1,FALSE)</f>
        <v>1 - Ei toteutettu tai ei tietoa</v>
      </c>
      <c r="C19" s="125">
        <v>1</v>
      </c>
      <c r="D19" s="1074" t="s">
        <v>3028</v>
      </c>
      <c r="E19" s="1074" t="s">
        <v>3033</v>
      </c>
      <c r="F19" s="1075" t="s">
        <v>3031</v>
      </c>
    </row>
    <row r="20" spans="1:6" x14ac:dyDescent="0.25">
      <c r="B20" s="126" t="str">
        <f>VLOOKUP($C20,$C$18:$F$22,$B$1,FALSE)</f>
        <v>2 - Osittain toteutettu</v>
      </c>
      <c r="C20" s="125">
        <v>2</v>
      </c>
      <c r="D20" s="1074" t="s">
        <v>1799</v>
      </c>
      <c r="E20" s="1074" t="s">
        <v>470</v>
      </c>
      <c r="F20" s="1075" t="s">
        <v>967</v>
      </c>
    </row>
    <row r="21" spans="1:6" x14ac:dyDescent="0.25">
      <c r="B21" s="126" t="str">
        <f>VLOOKUP($C21,$C$18:$F$22,$B$1,FALSE)</f>
        <v>3 - Enimmäkseen  toteutettu</v>
      </c>
      <c r="C21" s="125">
        <v>3</v>
      </c>
      <c r="D21" s="1074" t="s">
        <v>1800</v>
      </c>
      <c r="E21" s="1074" t="s">
        <v>471</v>
      </c>
      <c r="F21" s="1075" t="s">
        <v>968</v>
      </c>
    </row>
    <row r="22" spans="1:6" x14ac:dyDescent="0.25">
      <c r="B22" s="126" t="str">
        <f>VLOOKUP($C22,$C$18:$F$22,$B$1,FALSE)</f>
        <v>4 - Täysin toteutettu</v>
      </c>
      <c r="C22" s="125">
        <v>4</v>
      </c>
      <c r="D22" s="1074" t="s">
        <v>1801</v>
      </c>
      <c r="E22" s="1074" t="s">
        <v>6</v>
      </c>
      <c r="F22" s="1075" t="s">
        <v>969</v>
      </c>
    </row>
    <row r="23" spans="1:6" x14ac:dyDescent="0.25">
      <c r="A23" s="24" t="s">
        <v>677</v>
      </c>
      <c r="B23" s="126" t="str">
        <f>VLOOKUP($C23,$C$23:$F$25,$B$1,FALSE)</f>
        <v>1. Vähäinen systeeminen vaikutus</v>
      </c>
      <c r="C23" s="125">
        <v>1</v>
      </c>
      <c r="D23" s="1075" t="s">
        <v>673</v>
      </c>
      <c r="E23" s="1075" t="s">
        <v>674</v>
      </c>
      <c r="F23" s="1074" t="s">
        <v>1022</v>
      </c>
    </row>
    <row r="24" spans="1:6" ht="27.6" x14ac:dyDescent="0.25">
      <c r="B24" s="126" t="str">
        <f>VLOOKUP($C24,$C$23:$F$25,$B$1,FALSE)</f>
        <v>2. Huomattava systeeminen vaikutus</v>
      </c>
      <c r="C24" s="125">
        <v>2</v>
      </c>
      <c r="D24" s="1075" t="s">
        <v>684</v>
      </c>
      <c r="E24" s="1075" t="s">
        <v>542</v>
      </c>
      <c r="F24" s="1074" t="s">
        <v>1023</v>
      </c>
    </row>
    <row r="25" spans="1:6" ht="27.6" x14ac:dyDescent="0.25">
      <c r="B25" s="126" t="str">
        <f>VLOOKUP($C25,$C$23:$F$25,$B$1,FALSE)</f>
        <v>3. Rampauttava systeeminen vaikutus</v>
      </c>
      <c r="C25" s="125">
        <v>3</v>
      </c>
      <c r="D25" s="1075" t="s">
        <v>675</v>
      </c>
      <c r="E25" s="1075" t="s">
        <v>676</v>
      </c>
      <c r="F25" s="1074" t="s">
        <v>1024</v>
      </c>
    </row>
    <row r="26" spans="1:6" x14ac:dyDescent="0.25">
      <c r="A26" s="24" t="s">
        <v>472</v>
      </c>
      <c r="B26" s="126" t="str">
        <f>VLOOKUP($C26,$C$26:$F$40,$B$1,FALSE)</f>
        <v>Elintarvikehuolto</v>
      </c>
      <c r="C26" s="127">
        <v>1</v>
      </c>
      <c r="D26" s="1076" t="s">
        <v>956</v>
      </c>
      <c r="E26" s="1076" t="s">
        <v>473</v>
      </c>
      <c r="F26" s="1076" t="s">
        <v>970</v>
      </c>
    </row>
    <row r="27" spans="1:6" x14ac:dyDescent="0.25">
      <c r="B27" s="126" t="str">
        <f t="shared" ref="B27:B40" si="0">VLOOKUP($C27,$C$26:$F$40,$B$1,FALSE)</f>
        <v>Energiahuolto</v>
      </c>
      <c r="C27" s="127">
        <v>2</v>
      </c>
      <c r="D27" s="1076" t="s">
        <v>954</v>
      </c>
      <c r="E27" s="1076" t="s">
        <v>474</v>
      </c>
      <c r="F27" s="1076" t="s">
        <v>959</v>
      </c>
    </row>
    <row r="28" spans="1:6" x14ac:dyDescent="0.25">
      <c r="B28" s="126" t="str">
        <f t="shared" si="0"/>
        <v>Finanssiala</v>
      </c>
      <c r="C28" s="127">
        <v>3</v>
      </c>
      <c r="D28" s="1076" t="s">
        <v>957</v>
      </c>
      <c r="E28" s="1076" t="s">
        <v>706</v>
      </c>
      <c r="F28" s="1076" t="s">
        <v>971</v>
      </c>
    </row>
    <row r="29" spans="1:6" ht="27.6" x14ac:dyDescent="0.25">
      <c r="B29" s="126" t="str">
        <f t="shared" si="0"/>
        <v>Hallinto- ja tukipalvelut</v>
      </c>
      <c r="C29" s="127">
        <v>4</v>
      </c>
      <c r="D29" s="1077" t="s">
        <v>3003</v>
      </c>
      <c r="E29" s="1077" t="s">
        <v>3001</v>
      </c>
      <c r="F29" s="1077" t="s">
        <v>3002</v>
      </c>
    </row>
    <row r="30" spans="1:6" ht="27.6" x14ac:dyDescent="0.25">
      <c r="B30" s="126" t="str">
        <f t="shared" si="0"/>
        <v>ICT - Informaatio ja viestintä</v>
      </c>
      <c r="C30" s="127">
        <v>5</v>
      </c>
      <c r="D30" s="1077" t="s">
        <v>2990</v>
      </c>
      <c r="E30" s="1076" t="s">
        <v>3004</v>
      </c>
      <c r="F30" s="1077" t="s">
        <v>2989</v>
      </c>
    </row>
    <row r="31" spans="1:6" ht="41.4" x14ac:dyDescent="0.25">
      <c r="B31" s="126" t="str">
        <f t="shared" si="0"/>
        <v>Julkinen hallinto</v>
      </c>
      <c r="C31" s="127">
        <v>6</v>
      </c>
      <c r="D31" s="1078" t="s">
        <v>2431</v>
      </c>
      <c r="E31" s="1076" t="s">
        <v>2424</v>
      </c>
      <c r="F31" s="1078" t="s">
        <v>2430</v>
      </c>
    </row>
    <row r="32" spans="1:6" x14ac:dyDescent="0.25">
      <c r="B32" s="126" t="str">
        <f t="shared" si="0"/>
        <v>Kaivostoiminta ja louhinta</v>
      </c>
      <c r="C32" s="127">
        <v>7</v>
      </c>
      <c r="D32" s="1077" t="s">
        <v>2992</v>
      </c>
      <c r="E32" s="1076" t="s">
        <v>2428</v>
      </c>
      <c r="F32" s="1077" t="s">
        <v>2991</v>
      </c>
    </row>
    <row r="33" spans="1:6" x14ac:dyDescent="0.25">
      <c r="B33" s="126" t="str">
        <f t="shared" si="0"/>
        <v>Koulutus ja tutkimus</v>
      </c>
      <c r="C33" s="127">
        <v>8</v>
      </c>
      <c r="D33" s="1076" t="s">
        <v>2422</v>
      </c>
      <c r="E33" s="1076" t="s">
        <v>2987</v>
      </c>
      <c r="F33" s="1076" t="s">
        <v>2423</v>
      </c>
    </row>
    <row r="34" spans="1:6" x14ac:dyDescent="0.25">
      <c r="B34" s="126" t="str">
        <f t="shared" si="0"/>
        <v>Logistiikka</v>
      </c>
      <c r="C34" s="127">
        <v>9</v>
      </c>
      <c r="D34" s="1076" t="s">
        <v>955</v>
      </c>
      <c r="E34" s="1076" t="s">
        <v>475</v>
      </c>
      <c r="F34" s="1076" t="s">
        <v>960</v>
      </c>
    </row>
    <row r="35" spans="1:6" ht="27.6" x14ac:dyDescent="0.25">
      <c r="B35" s="126" t="str">
        <f t="shared" si="0"/>
        <v>Majoitus- ja ravitsemistoiminta</v>
      </c>
      <c r="C35" s="127">
        <v>10</v>
      </c>
      <c r="D35" s="1077" t="s">
        <v>2994</v>
      </c>
      <c r="E35" s="1077" t="s">
        <v>2427</v>
      </c>
      <c r="F35" s="1077" t="s">
        <v>2993</v>
      </c>
    </row>
    <row r="36" spans="1:6" x14ac:dyDescent="0.25">
      <c r="B36" s="126" t="str">
        <f t="shared" si="0"/>
        <v>Media-ala</v>
      </c>
      <c r="C36" s="127">
        <v>11</v>
      </c>
      <c r="D36" s="1079" t="s">
        <v>2996</v>
      </c>
      <c r="E36" s="1079" t="s">
        <v>2995</v>
      </c>
      <c r="F36" s="1079" t="s">
        <v>2997</v>
      </c>
    </row>
    <row r="37" spans="1:6" x14ac:dyDescent="0.25">
      <c r="B37" s="126" t="str">
        <f t="shared" si="0"/>
        <v xml:space="preserve">Muu </v>
      </c>
      <c r="C37" s="127">
        <v>12</v>
      </c>
      <c r="D37" s="1076" t="s">
        <v>2426</v>
      </c>
      <c r="E37" s="1076" t="s">
        <v>2988</v>
      </c>
      <c r="F37" s="1076" t="s">
        <v>2429</v>
      </c>
    </row>
    <row r="38" spans="1:6" x14ac:dyDescent="0.25">
      <c r="B38" s="126" t="str">
        <f t="shared" si="0"/>
        <v>Teollisuustuotanto</v>
      </c>
      <c r="C38" s="127">
        <v>13</v>
      </c>
      <c r="D38" s="1076" t="s">
        <v>2419</v>
      </c>
      <c r="E38" s="1076" t="s">
        <v>2420</v>
      </c>
      <c r="F38" s="1076" t="s">
        <v>2421</v>
      </c>
    </row>
    <row r="39" spans="1:6" x14ac:dyDescent="0.25">
      <c r="B39" s="126" t="str">
        <f t="shared" si="0"/>
        <v>Terveydenhuolto</v>
      </c>
      <c r="C39" s="127">
        <v>14</v>
      </c>
      <c r="D39" s="1076" t="s">
        <v>958</v>
      </c>
      <c r="E39" s="1076" t="s">
        <v>476</v>
      </c>
      <c r="F39" s="1076" t="s">
        <v>972</v>
      </c>
    </row>
    <row r="40" spans="1:6" x14ac:dyDescent="0.25">
      <c r="B40" s="126" t="str">
        <f t="shared" si="0"/>
        <v>Tukku- ja vähittäiskauppa</v>
      </c>
      <c r="C40" s="127">
        <v>15</v>
      </c>
      <c r="D40" s="1078" t="s">
        <v>3000</v>
      </c>
      <c r="E40" s="1077" t="s">
        <v>2999</v>
      </c>
      <c r="F40" s="1076" t="s">
        <v>2998</v>
      </c>
    </row>
    <row r="41" spans="1:6" x14ac:dyDescent="0.25">
      <c r="A41" s="24" t="s">
        <v>679</v>
      </c>
      <c r="B41" s="126" t="str">
        <f t="shared" ref="B41:B77" si="1">VLOOKUP($C41,$C$41:$F$77,$B$1,FALSE)</f>
        <v>Elintarvike - Alkutuotanto</v>
      </c>
      <c r="C41" s="127">
        <v>1</v>
      </c>
      <c r="D41" s="1075" t="s">
        <v>1017</v>
      </c>
      <c r="E41" s="1075" t="s">
        <v>707</v>
      </c>
      <c r="F41" s="1075" t="s">
        <v>973</v>
      </c>
    </row>
    <row r="42" spans="1:6" x14ac:dyDescent="0.25">
      <c r="B42" s="126" t="str">
        <f t="shared" si="1"/>
        <v>Elintarvike - Elintarviketeollisuus</v>
      </c>
      <c r="C42" s="127">
        <v>2</v>
      </c>
      <c r="D42" s="1075" t="s">
        <v>1018</v>
      </c>
      <c r="E42" s="1075" t="s">
        <v>708</v>
      </c>
      <c r="F42" s="1075" t="s">
        <v>974</v>
      </c>
    </row>
    <row r="43" spans="1:6" ht="27.6" x14ac:dyDescent="0.25">
      <c r="B43" s="126" t="str">
        <f t="shared" si="1"/>
        <v>Elintarvike - Kauppa ja jakelu</v>
      </c>
      <c r="C43" s="127">
        <v>3</v>
      </c>
      <c r="D43" s="1075" t="s">
        <v>1019</v>
      </c>
      <c r="E43" s="1075" t="s">
        <v>709</v>
      </c>
      <c r="F43" s="1075" t="s">
        <v>975</v>
      </c>
    </row>
    <row r="44" spans="1:6" x14ac:dyDescent="0.25">
      <c r="B44" s="126" t="str">
        <f t="shared" si="1"/>
        <v>Elintarvike - Muu</v>
      </c>
      <c r="C44" s="127">
        <v>4</v>
      </c>
      <c r="D44" s="1075" t="s">
        <v>1020</v>
      </c>
      <c r="E44" s="1075" t="s">
        <v>710</v>
      </c>
      <c r="F44" s="1075" t="s">
        <v>976</v>
      </c>
    </row>
    <row r="45" spans="1:6" x14ac:dyDescent="0.25">
      <c r="B45" s="126" t="str">
        <f t="shared" si="1"/>
        <v>Energia - Voimatalous</v>
      </c>
      <c r="C45" s="127">
        <v>5</v>
      </c>
      <c r="D45" s="1075" t="s">
        <v>997</v>
      </c>
      <c r="E45" s="1075" t="s">
        <v>711</v>
      </c>
      <c r="F45" s="1075" t="s">
        <v>977</v>
      </c>
    </row>
    <row r="46" spans="1:6" x14ac:dyDescent="0.25">
      <c r="B46" s="126" t="str">
        <f t="shared" si="1"/>
        <v>Energia - Öljy</v>
      </c>
      <c r="C46" s="127">
        <v>6</v>
      </c>
      <c r="D46" s="1075" t="s">
        <v>998</v>
      </c>
      <c r="E46" s="1075" t="s">
        <v>712</v>
      </c>
      <c r="F46" s="1075" t="s">
        <v>978</v>
      </c>
    </row>
    <row r="47" spans="1:6" x14ac:dyDescent="0.25">
      <c r="B47" s="882" t="str">
        <f t="shared" si="1"/>
        <v>Energia - Muu</v>
      </c>
      <c r="C47" s="127">
        <v>7</v>
      </c>
      <c r="D47" s="1076" t="s">
        <v>999</v>
      </c>
      <c r="E47" s="1076" t="s">
        <v>713</v>
      </c>
      <c r="F47" s="1076" t="s">
        <v>979</v>
      </c>
    </row>
    <row r="48" spans="1:6" x14ac:dyDescent="0.25">
      <c r="B48" s="882" t="str">
        <f t="shared" si="1"/>
        <v>Finanssi - Kiinteistöalan toiminta</v>
      </c>
      <c r="C48" s="127">
        <v>8</v>
      </c>
      <c r="D48" s="1077" t="s">
        <v>3014</v>
      </c>
      <c r="E48" s="1076" t="s">
        <v>3005</v>
      </c>
      <c r="F48" s="1077" t="s">
        <v>3013</v>
      </c>
    </row>
    <row r="49" spans="2:6" x14ac:dyDescent="0.25">
      <c r="B49" s="882" t="str">
        <f t="shared" si="1"/>
        <v>Finanssi - Rahoitushuolto</v>
      </c>
      <c r="C49" s="127">
        <v>9</v>
      </c>
      <c r="D49" s="1076" t="s">
        <v>1000</v>
      </c>
      <c r="E49" s="1076" t="s">
        <v>714</v>
      </c>
      <c r="F49" s="1076" t="s">
        <v>980</v>
      </c>
    </row>
    <row r="50" spans="2:6" x14ac:dyDescent="0.25">
      <c r="B50" s="882" t="str">
        <f t="shared" si="1"/>
        <v>Finanssi - Vakuutusala</v>
      </c>
      <c r="C50" s="127">
        <v>10</v>
      </c>
      <c r="D50" s="1076" t="s">
        <v>1001</v>
      </c>
      <c r="E50" s="1076" t="s">
        <v>715</v>
      </c>
      <c r="F50" s="1076" t="s">
        <v>981</v>
      </c>
    </row>
    <row r="51" spans="2:6" x14ac:dyDescent="0.25">
      <c r="B51" s="882" t="str">
        <f t="shared" si="1"/>
        <v>Finanssi - Muu</v>
      </c>
      <c r="C51" s="127">
        <v>11</v>
      </c>
      <c r="D51" s="1076" t="s">
        <v>1002</v>
      </c>
      <c r="E51" s="1076" t="s">
        <v>716</v>
      </c>
      <c r="F51" s="1076" t="s">
        <v>982</v>
      </c>
    </row>
    <row r="52" spans="2:6" ht="27.6" x14ac:dyDescent="0.25">
      <c r="B52" s="882" t="str">
        <f t="shared" si="1"/>
        <v>Hallinto- ja tukipalvelut</v>
      </c>
      <c r="C52" s="127">
        <v>12</v>
      </c>
      <c r="D52" s="1077" t="s">
        <v>3003</v>
      </c>
      <c r="E52" s="1077" t="s">
        <v>3001</v>
      </c>
      <c r="F52" s="1077" t="s">
        <v>3002</v>
      </c>
    </row>
    <row r="53" spans="2:6" x14ac:dyDescent="0.25">
      <c r="B53" s="882" t="str">
        <f t="shared" si="1"/>
        <v>ICT - ISP ja NSP</v>
      </c>
      <c r="C53" s="127">
        <v>13</v>
      </c>
      <c r="D53" s="1077" t="s">
        <v>3024</v>
      </c>
      <c r="E53" s="1076" t="s">
        <v>3008</v>
      </c>
      <c r="F53" s="1076" t="s">
        <v>3018</v>
      </c>
    </row>
    <row r="54" spans="2:6" ht="27.6" x14ac:dyDescent="0.25">
      <c r="B54" s="882" t="str">
        <f t="shared" si="1"/>
        <v>ICT - palvelutuotanto, sovelluskehitys, ylläpito</v>
      </c>
      <c r="C54" s="127">
        <v>14</v>
      </c>
      <c r="D54" s="1077" t="s">
        <v>3020</v>
      </c>
      <c r="E54" s="1077" t="s">
        <v>3019</v>
      </c>
      <c r="F54" s="1077" t="s">
        <v>3021</v>
      </c>
    </row>
    <row r="55" spans="2:6" x14ac:dyDescent="0.25">
      <c r="B55" s="882" t="str">
        <f t="shared" si="1"/>
        <v>ICT - Muu</v>
      </c>
      <c r="C55" s="127">
        <v>15</v>
      </c>
      <c r="D55" s="1076" t="s">
        <v>3010</v>
      </c>
      <c r="E55" s="1076" t="s">
        <v>3009</v>
      </c>
      <c r="F55" s="1076" t="s">
        <v>3011</v>
      </c>
    </row>
    <row r="56" spans="2:6" x14ac:dyDescent="0.25">
      <c r="B56" s="882" t="str">
        <f t="shared" si="1"/>
        <v>Julkinen hallinto</v>
      </c>
      <c r="C56" s="127">
        <v>16</v>
      </c>
      <c r="D56" s="1076" t="s">
        <v>3012</v>
      </c>
      <c r="E56" s="1079" t="s">
        <v>2424</v>
      </c>
      <c r="F56" s="1076" t="s">
        <v>2430</v>
      </c>
    </row>
    <row r="57" spans="2:6" x14ac:dyDescent="0.25">
      <c r="B57" s="126" t="str">
        <f t="shared" si="1"/>
        <v>Koulutus ja tutkimus</v>
      </c>
      <c r="C57" s="127">
        <v>17</v>
      </c>
      <c r="D57" s="1080" t="s">
        <v>3022</v>
      </c>
      <c r="E57" s="1079" t="s">
        <v>2987</v>
      </c>
      <c r="F57" s="1077" t="s">
        <v>3023</v>
      </c>
    </row>
    <row r="58" spans="2:6" x14ac:dyDescent="0.25">
      <c r="B58" s="126" t="str">
        <f t="shared" si="1"/>
        <v>Kriit. teollisuus - Kemia</v>
      </c>
      <c r="C58" s="127">
        <v>18</v>
      </c>
      <c r="D58" s="1075" t="s">
        <v>1003</v>
      </c>
      <c r="E58" s="1075" t="s">
        <v>724</v>
      </c>
      <c r="F58" s="1075" t="s">
        <v>983</v>
      </c>
    </row>
    <row r="59" spans="2:6" ht="41.4" x14ac:dyDescent="0.25">
      <c r="B59" s="126" t="str">
        <f t="shared" si="1"/>
        <v>Kriit. Teollisuus - Lääkkeet ja lääkinnälliset laitteet</v>
      </c>
      <c r="C59" s="127">
        <v>19</v>
      </c>
      <c r="D59" s="1075" t="s">
        <v>3026</v>
      </c>
      <c r="E59" s="1075" t="s">
        <v>3007</v>
      </c>
      <c r="F59" s="1075" t="s">
        <v>3025</v>
      </c>
    </row>
    <row r="60" spans="2:6" x14ac:dyDescent="0.25">
      <c r="B60" s="126" t="str">
        <f t="shared" si="1"/>
        <v>Kriit. teollisuus - Metsä</v>
      </c>
      <c r="C60" s="127">
        <v>20</v>
      </c>
      <c r="D60" s="1075" t="s">
        <v>1004</v>
      </c>
      <c r="E60" s="1075" t="s">
        <v>725</v>
      </c>
      <c r="F60" s="1075" t="s">
        <v>984</v>
      </c>
    </row>
    <row r="61" spans="2:6" x14ac:dyDescent="0.25">
      <c r="B61" s="126" t="str">
        <f t="shared" si="1"/>
        <v>Kriit. teollisuus - MIL</v>
      </c>
      <c r="C61" s="127">
        <v>21</v>
      </c>
      <c r="D61" s="1075" t="s">
        <v>1005</v>
      </c>
      <c r="E61" s="1075" t="s">
        <v>726</v>
      </c>
      <c r="F61" s="1075" t="s">
        <v>985</v>
      </c>
    </row>
    <row r="62" spans="2:6" ht="27.6" x14ac:dyDescent="0.25">
      <c r="B62" s="126" t="str">
        <f t="shared" si="1"/>
        <v>Kriit. teollisuus - Muovi ja kumi</v>
      </c>
      <c r="C62" s="127">
        <v>22</v>
      </c>
      <c r="D62" s="1075" t="s">
        <v>1006</v>
      </c>
      <c r="E62" s="1075" t="s">
        <v>727</v>
      </c>
      <c r="F62" s="1075" t="s">
        <v>986</v>
      </c>
    </row>
    <row r="63" spans="2:6" ht="27.6" x14ac:dyDescent="0.25">
      <c r="B63" s="126" t="str">
        <f t="shared" si="1"/>
        <v>Kriit. teollisuus - Rakennus</v>
      </c>
      <c r="C63" s="127">
        <v>23</v>
      </c>
      <c r="D63" s="1075" t="s">
        <v>1007</v>
      </c>
      <c r="E63" s="1075" t="s">
        <v>728</v>
      </c>
      <c r="F63" s="1075" t="s">
        <v>987</v>
      </c>
    </row>
    <row r="64" spans="2:6" x14ac:dyDescent="0.25">
      <c r="B64" s="126" t="str">
        <f t="shared" si="1"/>
        <v>Kriit. teollisuus - Teknologia</v>
      </c>
      <c r="C64" s="127">
        <v>24</v>
      </c>
      <c r="D64" s="1075" t="s">
        <v>1008</v>
      </c>
      <c r="E64" s="1075" t="s">
        <v>729</v>
      </c>
      <c r="F64" s="1075" t="s">
        <v>988</v>
      </c>
    </row>
    <row r="65" spans="1:7" x14ac:dyDescent="0.25">
      <c r="B65" s="126" t="str">
        <f t="shared" si="1"/>
        <v>Kriit. teollisuus - Muu</v>
      </c>
      <c r="C65" s="127">
        <v>25</v>
      </c>
      <c r="D65" s="1075" t="s">
        <v>1009</v>
      </c>
      <c r="E65" s="1075" t="s">
        <v>730</v>
      </c>
      <c r="F65" s="1075" t="s">
        <v>989</v>
      </c>
    </row>
    <row r="66" spans="1:7" x14ac:dyDescent="0.25">
      <c r="B66" s="126" t="str">
        <f t="shared" si="1"/>
        <v>Logistiikka - Ilmakuljetus</v>
      </c>
      <c r="C66" s="127">
        <v>26</v>
      </c>
      <c r="D66" s="1075" t="s">
        <v>1010</v>
      </c>
      <c r="E66" s="1075" t="s">
        <v>717</v>
      </c>
      <c r="F66" s="1075" t="s">
        <v>990</v>
      </c>
    </row>
    <row r="67" spans="1:7" x14ac:dyDescent="0.25">
      <c r="B67" s="126" t="str">
        <f t="shared" si="1"/>
        <v>Logistiikka - Maakuljetus</v>
      </c>
      <c r="C67" s="127">
        <v>27</v>
      </c>
      <c r="D67" s="1075" t="s">
        <v>1011</v>
      </c>
      <c r="E67" s="1075" t="s">
        <v>718</v>
      </c>
      <c r="F67" s="1075" t="s">
        <v>991</v>
      </c>
    </row>
    <row r="68" spans="1:7" x14ac:dyDescent="0.25">
      <c r="B68" s="126" t="str">
        <f t="shared" si="1"/>
        <v>Logistiikka - Satamatoiminta</v>
      </c>
      <c r="C68" s="127">
        <v>28</v>
      </c>
      <c r="D68" s="1075" t="s">
        <v>3016</v>
      </c>
      <c r="E68" s="1075" t="s">
        <v>3006</v>
      </c>
      <c r="F68" s="1075" t="s">
        <v>3017</v>
      </c>
    </row>
    <row r="69" spans="1:7" x14ac:dyDescent="0.25">
      <c r="B69" s="126" t="str">
        <f t="shared" si="1"/>
        <v>Logistiikka - Vesikuljetus</v>
      </c>
      <c r="C69" s="127">
        <v>29</v>
      </c>
      <c r="D69" s="1076" t="s">
        <v>1012</v>
      </c>
      <c r="E69" s="1076" t="s">
        <v>719</v>
      </c>
      <c r="F69" s="1076" t="s">
        <v>992</v>
      </c>
      <c r="G69" s="881"/>
    </row>
    <row r="70" spans="1:7" x14ac:dyDescent="0.25">
      <c r="B70" s="126" t="str">
        <f t="shared" si="1"/>
        <v>Logistiikka - Muu</v>
      </c>
      <c r="C70" s="127">
        <v>30</v>
      </c>
      <c r="D70" s="1076" t="s">
        <v>1013</v>
      </c>
      <c r="E70" s="1076" t="s">
        <v>720</v>
      </c>
      <c r="F70" s="1076" t="s">
        <v>993</v>
      </c>
      <c r="G70" s="881"/>
    </row>
    <row r="71" spans="1:7" ht="27.6" x14ac:dyDescent="0.25">
      <c r="B71" s="126" t="str">
        <f t="shared" si="1"/>
        <v>Majoitus- ja ravitsemistoiminta</v>
      </c>
      <c r="C71" s="127">
        <v>31</v>
      </c>
      <c r="D71" s="1077" t="s">
        <v>2994</v>
      </c>
      <c r="E71" s="1077" t="s">
        <v>2427</v>
      </c>
      <c r="F71" s="1077" t="s">
        <v>2993</v>
      </c>
      <c r="G71" s="881"/>
    </row>
    <row r="72" spans="1:7" x14ac:dyDescent="0.25">
      <c r="B72" s="126" t="str">
        <f t="shared" si="1"/>
        <v>Media-ala</v>
      </c>
      <c r="C72" s="127">
        <v>32</v>
      </c>
      <c r="D72" s="1079" t="s">
        <v>2996</v>
      </c>
      <c r="E72" s="1079" t="s">
        <v>2995</v>
      </c>
      <c r="F72" s="1079" t="s">
        <v>3015</v>
      </c>
      <c r="G72" s="881"/>
    </row>
    <row r="73" spans="1:7" x14ac:dyDescent="0.25">
      <c r="B73" s="126" t="str">
        <f t="shared" si="1"/>
        <v>Terveys - Terveydenhuolto</v>
      </c>
      <c r="C73" s="127">
        <v>33</v>
      </c>
      <c r="D73" s="1076" t="s">
        <v>1014</v>
      </c>
      <c r="E73" s="1076" t="s">
        <v>721</v>
      </c>
      <c r="F73" s="1076" t="s">
        <v>994</v>
      </c>
      <c r="G73" s="881"/>
    </row>
    <row r="74" spans="1:7" x14ac:dyDescent="0.25">
      <c r="B74" s="126" t="str">
        <f t="shared" si="1"/>
        <v>Terveys - Vesihuolto</v>
      </c>
      <c r="C74" s="127">
        <v>34</v>
      </c>
      <c r="D74" s="1076" t="s">
        <v>1015</v>
      </c>
      <c r="E74" s="1076" t="s">
        <v>722</v>
      </c>
      <c r="F74" s="1076" t="s">
        <v>995</v>
      </c>
      <c r="G74" s="881"/>
    </row>
    <row r="75" spans="1:7" x14ac:dyDescent="0.25">
      <c r="B75" s="126" t="str">
        <f t="shared" si="1"/>
        <v>Terveys - Muu</v>
      </c>
      <c r="C75" s="127">
        <v>35</v>
      </c>
      <c r="D75" s="1076" t="s">
        <v>1016</v>
      </c>
      <c r="E75" s="1076" t="s">
        <v>723</v>
      </c>
      <c r="F75" s="1076" t="s">
        <v>996</v>
      </c>
      <c r="G75" s="881"/>
    </row>
    <row r="76" spans="1:7" x14ac:dyDescent="0.25">
      <c r="B76" s="126" t="str">
        <f t="shared" si="1"/>
        <v>Tukku- ja vähittäiskauppa</v>
      </c>
      <c r="C76" s="127">
        <v>36</v>
      </c>
      <c r="D76" s="1078" t="s">
        <v>3000</v>
      </c>
      <c r="E76" s="1077" t="s">
        <v>2999</v>
      </c>
      <c r="F76" s="1076" t="s">
        <v>2998</v>
      </c>
      <c r="G76" s="881"/>
    </row>
    <row r="77" spans="1:7" x14ac:dyDescent="0.25">
      <c r="B77" s="126" t="str">
        <f t="shared" si="1"/>
        <v>Muu</v>
      </c>
      <c r="C77" s="127">
        <v>37</v>
      </c>
      <c r="D77" s="1075" t="s">
        <v>2426</v>
      </c>
      <c r="E77" s="1075" t="s">
        <v>2425</v>
      </c>
      <c r="F77" s="1075" t="s">
        <v>2429</v>
      </c>
    </row>
    <row r="78" spans="1:7" ht="27.6" x14ac:dyDescent="0.25">
      <c r="A78" s="24" t="s">
        <v>961</v>
      </c>
      <c r="B78" s="126" t="str">
        <f t="shared" ref="B78:B88" si="2">VLOOKUP($C78,$C$78:$F$88,$B$1,FALSE)</f>
        <v>Kriittiset
palvelut</v>
      </c>
      <c r="C78" s="127">
        <v>1</v>
      </c>
      <c r="D78" s="1075" t="s">
        <v>57</v>
      </c>
      <c r="E78" s="1081" t="s">
        <v>888</v>
      </c>
      <c r="F78" s="1075" t="s">
        <v>57</v>
      </c>
    </row>
    <row r="79" spans="1:7" ht="27.6" x14ac:dyDescent="0.25">
      <c r="B79" s="126" t="str">
        <f t="shared" si="2"/>
        <v>Omaisuuden
hallinta</v>
      </c>
      <c r="C79" s="127">
        <v>2</v>
      </c>
      <c r="D79" s="1075" t="s">
        <v>48</v>
      </c>
      <c r="E79" s="1081" t="s">
        <v>1822</v>
      </c>
      <c r="F79" s="1075" t="s">
        <v>48</v>
      </c>
    </row>
    <row r="80" spans="1:7" ht="27.6" x14ac:dyDescent="0.25">
      <c r="B80" s="126" t="str">
        <f t="shared" si="2"/>
        <v>Uhkat ja
haavoittuvuudet</v>
      </c>
      <c r="C80" s="127">
        <v>3</v>
      </c>
      <c r="D80" s="1075" t="s">
        <v>66</v>
      </c>
      <c r="E80" s="1081" t="s">
        <v>1821</v>
      </c>
      <c r="F80" s="1075" t="s">
        <v>66</v>
      </c>
    </row>
    <row r="81" spans="2:6" ht="27.6" x14ac:dyDescent="0.25">
      <c r="B81" s="126" t="str">
        <f t="shared" si="2"/>
        <v>Riskien
hallinta</v>
      </c>
      <c r="C81" s="127">
        <v>4</v>
      </c>
      <c r="D81" s="1075" t="s">
        <v>0</v>
      </c>
      <c r="E81" s="1081" t="s">
        <v>889</v>
      </c>
      <c r="F81" s="1075" t="s">
        <v>0</v>
      </c>
    </row>
    <row r="82" spans="2:6" ht="27.6" x14ac:dyDescent="0.25">
      <c r="B82" s="126" t="str">
        <f t="shared" si="2"/>
        <v>Pääsyn
hallinta</v>
      </c>
      <c r="C82" s="127">
        <v>5</v>
      </c>
      <c r="D82" s="1075" t="s">
        <v>61</v>
      </c>
      <c r="E82" s="1081" t="s">
        <v>891</v>
      </c>
      <c r="F82" s="1075" t="s">
        <v>61</v>
      </c>
    </row>
    <row r="83" spans="2:6" ht="27.6" x14ac:dyDescent="0.25">
      <c r="B83" s="126" t="str">
        <f t="shared" si="2"/>
        <v>Tilanne
kuva</v>
      </c>
      <c r="C83" s="127">
        <v>6</v>
      </c>
      <c r="D83" s="1075" t="s">
        <v>69</v>
      </c>
      <c r="E83" s="1081" t="s">
        <v>1820</v>
      </c>
      <c r="F83" s="1075" t="s">
        <v>69</v>
      </c>
    </row>
    <row r="84" spans="2:6" ht="27.6" x14ac:dyDescent="0.25">
      <c r="B84" s="126" t="str">
        <f t="shared" si="2"/>
        <v>Tapahtumat
ja häiriöt</v>
      </c>
      <c r="C84" s="127">
        <v>7</v>
      </c>
      <c r="D84" s="1075" t="s">
        <v>71</v>
      </c>
      <c r="E84" s="1081" t="s">
        <v>1823</v>
      </c>
      <c r="F84" s="1075" t="s">
        <v>71</v>
      </c>
    </row>
    <row r="85" spans="2:6" ht="27.6" x14ac:dyDescent="0.25">
      <c r="B85" s="126" t="str">
        <f t="shared" si="2"/>
        <v>Kolmannet
osapuolet</v>
      </c>
      <c r="C85" s="127">
        <v>8</v>
      </c>
      <c r="D85" s="609" t="s">
        <v>1145</v>
      </c>
      <c r="E85" s="1081" t="s">
        <v>1819</v>
      </c>
      <c r="F85" s="609" t="s">
        <v>1145</v>
      </c>
    </row>
    <row r="86" spans="2:6" ht="27.6" x14ac:dyDescent="0.25">
      <c r="B86" s="126" t="str">
        <f t="shared" si="2"/>
        <v>Henkilöstön
hallinta</v>
      </c>
      <c r="C86" s="127">
        <v>9</v>
      </c>
      <c r="D86" s="609" t="s">
        <v>77</v>
      </c>
      <c r="E86" s="1081" t="s">
        <v>1825</v>
      </c>
      <c r="F86" s="609" t="s">
        <v>77</v>
      </c>
    </row>
    <row r="87" spans="2:6" ht="27.6" x14ac:dyDescent="0.25">
      <c r="B87" s="126" t="str">
        <f t="shared" si="2"/>
        <v>Kyber
arkkitehtuuri</v>
      </c>
      <c r="C87" s="127">
        <v>10</v>
      </c>
      <c r="D87" s="609" t="s">
        <v>80</v>
      </c>
      <c r="E87" s="1081" t="s">
        <v>894</v>
      </c>
      <c r="F87" s="609" t="s">
        <v>80</v>
      </c>
    </row>
    <row r="88" spans="2:6" ht="27.6" x14ac:dyDescent="0.25">
      <c r="B88" s="126" t="str">
        <f t="shared" si="2"/>
        <v>Kyberturv.
hallinta</v>
      </c>
      <c r="C88" s="127">
        <v>11</v>
      </c>
      <c r="D88" s="609" t="s">
        <v>82</v>
      </c>
      <c r="E88" s="1081" t="s">
        <v>1824</v>
      </c>
      <c r="F88" s="609" t="s">
        <v>82</v>
      </c>
    </row>
    <row r="90" spans="2:6" ht="27.6" x14ac:dyDescent="0.25">
      <c r="D90" s="609" t="s">
        <v>57</v>
      </c>
      <c r="E90" s="609" t="s">
        <v>888</v>
      </c>
    </row>
    <row r="91" spans="2:6" x14ac:dyDescent="0.25">
      <c r="D91" s="609" t="s">
        <v>48</v>
      </c>
      <c r="E91" s="609" t="s">
        <v>3027</v>
      </c>
    </row>
    <row r="92" spans="2:6" x14ac:dyDescent="0.25">
      <c r="D92" s="609" t="s">
        <v>66</v>
      </c>
      <c r="E92" s="609" t="s">
        <v>886</v>
      </c>
    </row>
    <row r="93" spans="2:6" ht="27.6" x14ac:dyDescent="0.25">
      <c r="D93" s="609" t="s">
        <v>0</v>
      </c>
      <c r="E93" s="609" t="s">
        <v>889</v>
      </c>
    </row>
    <row r="94" spans="2:6" ht="27.6" x14ac:dyDescent="0.25">
      <c r="D94" s="609" t="s">
        <v>61</v>
      </c>
      <c r="E94" s="609" t="s">
        <v>891</v>
      </c>
    </row>
    <row r="95" spans="2:6" x14ac:dyDescent="0.25">
      <c r="D95" s="609" t="s">
        <v>69</v>
      </c>
      <c r="E95" s="609" t="s">
        <v>594</v>
      </c>
    </row>
    <row r="96" spans="2:6" ht="27.6" x14ac:dyDescent="0.25">
      <c r="D96" s="609" t="s">
        <v>71</v>
      </c>
      <c r="E96" s="609" t="s">
        <v>892</v>
      </c>
    </row>
    <row r="97" spans="4:5" ht="27.6" x14ac:dyDescent="0.25">
      <c r="D97" s="609" t="s">
        <v>1145</v>
      </c>
      <c r="E97" s="609" t="s">
        <v>890</v>
      </c>
    </row>
    <row r="98" spans="4:5" x14ac:dyDescent="0.25">
      <c r="D98" s="609" t="s">
        <v>77</v>
      </c>
      <c r="E98" s="609" t="s">
        <v>887</v>
      </c>
    </row>
    <row r="99" spans="4:5" ht="27.6" x14ac:dyDescent="0.25">
      <c r="D99" s="609" t="s">
        <v>80</v>
      </c>
      <c r="E99" s="609" t="s">
        <v>894</v>
      </c>
    </row>
    <row r="100" spans="4:5" ht="27.6" x14ac:dyDescent="0.25">
      <c r="D100" s="609" t="s">
        <v>82</v>
      </c>
      <c r="E100" s="609" t="s">
        <v>893</v>
      </c>
    </row>
  </sheetData>
  <sheetProtection sheet="1" objects="1" scenarios="1" formatCells="0" formatColumns="0" formatRows="0"/>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2" tint="0.79998168889431442"/>
  </sheetPr>
  <dimension ref="A1:U56"/>
  <sheetViews>
    <sheetView showGridLines="0" zoomScale="80" zoomScaleNormal="80" workbookViewId="0"/>
  </sheetViews>
  <sheetFormatPr defaultColWidth="9.26953125" defaultRowHeight="11.4" x14ac:dyDescent="0.25"/>
  <cols>
    <col min="1" max="2" width="1.6328125" style="143" customWidth="1"/>
    <col min="3" max="3" width="2.6328125" style="143" customWidth="1"/>
    <col min="4" max="4" width="3.1796875" style="304" customWidth="1"/>
    <col min="5" max="5" width="55.6328125" style="143" customWidth="1"/>
    <col min="6" max="6" width="2.6328125" style="305" customWidth="1"/>
    <col min="7" max="7" width="14.6328125" style="264" customWidth="1"/>
    <col min="8" max="8" width="30.6328125" style="306" customWidth="1"/>
    <col min="9" max="10" width="20.6328125" style="306" customWidth="1"/>
    <col min="11" max="11" width="10.6328125" style="306" customWidth="1"/>
    <col min="12" max="12" width="1.6328125" style="143" customWidth="1"/>
    <col min="13" max="13" width="1.6328125" style="307" customWidth="1"/>
    <col min="14" max="14" width="1.6328125" style="143" customWidth="1"/>
    <col min="15" max="15" width="14.6328125" style="444" customWidth="1"/>
    <col min="16" max="16" width="45.26953125" style="306" customWidth="1"/>
    <col min="17" max="18" width="20.6328125" style="306" customWidth="1"/>
    <col min="19" max="19" width="10.6328125" style="306" customWidth="1"/>
    <col min="20" max="20" width="1.6328125" style="143" customWidth="1"/>
    <col min="21" max="21" width="1.6328125" style="307" customWidth="1"/>
    <col min="22" max="16384" width="9.26953125" style="143"/>
  </cols>
  <sheetData>
    <row r="1" spans="1:21" x14ac:dyDescent="0.25">
      <c r="A1" s="138"/>
      <c r="B1" s="138"/>
      <c r="C1" s="138"/>
      <c r="D1" s="138"/>
      <c r="E1" s="138"/>
      <c r="F1" s="255"/>
      <c r="G1" s="254"/>
      <c r="H1" s="254"/>
      <c r="I1" s="254"/>
      <c r="J1" s="254"/>
      <c r="K1" s="254"/>
      <c r="L1" s="138"/>
      <c r="M1" s="138"/>
      <c r="N1" s="138"/>
      <c r="O1" s="255"/>
      <c r="P1" s="254"/>
      <c r="Q1" s="254"/>
      <c r="R1" s="254"/>
      <c r="S1" s="254"/>
      <c r="T1" s="138"/>
      <c r="U1" s="138"/>
    </row>
    <row r="2" spans="1:21" s="261" customFormat="1" ht="15" customHeight="1" x14ac:dyDescent="0.2">
      <c r="A2" s="256"/>
      <c r="B2" s="145"/>
      <c r="C2" s="257"/>
      <c r="D2" s="148"/>
      <c r="E2" s="258"/>
      <c r="F2" s="149"/>
      <c r="G2" s="259"/>
      <c r="H2" s="259"/>
      <c r="I2" s="259"/>
      <c r="J2" s="259"/>
      <c r="K2" s="259"/>
      <c r="L2" s="150"/>
      <c r="M2" s="256"/>
      <c r="N2" s="883"/>
      <c r="O2" s="884"/>
      <c r="P2" s="884"/>
      <c r="Q2" s="884"/>
      <c r="R2" s="884"/>
      <c r="S2" s="884"/>
      <c r="T2" s="885"/>
      <c r="U2" s="256"/>
    </row>
    <row r="3" spans="1:21" s="261" customFormat="1" ht="25.05" customHeight="1" x14ac:dyDescent="0.25">
      <c r="A3" s="256"/>
      <c r="B3" s="152"/>
      <c r="C3" s="153" t="s">
        <v>57</v>
      </c>
      <c r="D3" s="154"/>
      <c r="E3" s="436"/>
      <c r="F3" s="155"/>
      <c r="H3" s="272" t="str">
        <f>IF(VLOOKUP("GEN-TOTAL",Languages!$A:$D,1,TRUE)="GEN-TOTAL",VLOOKUP("GEN-TOTAL",Languages!$A:$D,Summary!$C$7,TRUE),NA())</f>
        <v>Kokonaisarvio</v>
      </c>
      <c r="I3" s="156" t="str">
        <f>IF(VLOOKUP("GEN-SEC",Languages!$A:$D,1,TRUE)="GEN-SEC",VLOOKUP("GEN-SEC",Languages!$A:$D,Summary!$C$7,TRUE),NA())</f>
        <v>Tiedon luokittelu</v>
      </c>
      <c r="J3" s="437"/>
      <c r="L3" s="157"/>
      <c r="M3" s="256"/>
      <c r="N3" s="886"/>
      <c r="O3" s="1219" t="str">
        <f>VLOOKUP($C$3,Infoimport!$B$4:$C$14,2,FALSE)</f>
        <v xml:space="preserve">CRITICAL, tiedot Infoimport-välilehdeltä </v>
      </c>
      <c r="P3" s="1219"/>
      <c r="Q3" s="1219"/>
      <c r="R3" s="1219"/>
      <c r="S3" s="1219"/>
      <c r="T3" s="887"/>
      <c r="U3" s="256"/>
    </row>
    <row r="4" spans="1:21" ht="25.05" customHeight="1" x14ac:dyDescent="0.3">
      <c r="A4" s="138"/>
      <c r="B4" s="160"/>
      <c r="C4" s="158" t="str">
        <f>IF(VLOOKUP($C$3,Languages!$A:$D,1,TRUE)=$C$3,VLOOKUP($C$3,Languages!$A:$D,Summary!$C$7,TRUE),NA())</f>
        <v>Kriittisten palveluiden suojaaminen (CRITICAL)</v>
      </c>
      <c r="D4" s="262"/>
      <c r="E4" s="263"/>
      <c r="F4" s="265"/>
      <c r="H4" s="265" t="str">
        <f ca="1">VLOOKUP(VLOOKUP(CONCATENATE($C$3),Data!$K:$O,5,FALSE),Parameters!$C$7:$F$10,Summary!$C$7,FALSE)</f>
        <v>Kypsyystaso 0</v>
      </c>
      <c r="I4" s="781"/>
      <c r="J4" s="266"/>
      <c r="L4" s="164"/>
      <c r="M4" s="138"/>
      <c r="N4" s="886"/>
      <c r="O4" s="1219"/>
      <c r="P4" s="1219"/>
      <c r="Q4" s="1219"/>
      <c r="R4" s="1219"/>
      <c r="S4" s="1219"/>
      <c r="T4" s="887"/>
      <c r="U4" s="138"/>
    </row>
    <row r="5" spans="1:21" ht="10.050000000000001" customHeight="1" x14ac:dyDescent="0.25">
      <c r="A5" s="138"/>
      <c r="B5" s="160"/>
      <c r="C5" s="267"/>
      <c r="D5" s="162"/>
      <c r="E5" s="162"/>
      <c r="F5" s="163"/>
      <c r="G5" s="163"/>
      <c r="H5" s="266"/>
      <c r="I5" s="266"/>
      <c r="J5" s="266"/>
      <c r="K5" s="266"/>
      <c r="L5" s="164"/>
      <c r="M5" s="138"/>
      <c r="N5" s="886"/>
      <c r="O5" s="1219"/>
      <c r="P5" s="1219"/>
      <c r="Q5" s="1219"/>
      <c r="R5" s="1219"/>
      <c r="S5" s="1219"/>
      <c r="T5" s="887"/>
      <c r="U5" s="138"/>
    </row>
    <row r="6" spans="1:21" ht="30" customHeight="1" x14ac:dyDescent="0.25">
      <c r="A6" s="138"/>
      <c r="B6" s="160"/>
      <c r="C6" s="1216" t="str">
        <f>IF(VLOOKUP(CONCATENATE(C3,"-0"),Languages!$A:$D,1,TRUE)=CONCATENATE(C3,"-0"),VLOOKUP(CONCATENATE(C3,"-0"),Languages!$A:$D,Summary!$C$7,TRUE),NA())</f>
        <v>Organisaation tulee tunnistaa oma roolinsa yhteiskunnan kannalta kriittisten palveluiden tuottamisessa ja hallita riskejä sen mukaisesti.</v>
      </c>
      <c r="D6" s="1216"/>
      <c r="E6" s="1216"/>
      <c r="F6" s="1216"/>
      <c r="G6" s="1216"/>
      <c r="H6" s="1216"/>
      <c r="I6" s="1216"/>
      <c r="J6" s="1216"/>
      <c r="K6" s="1216"/>
      <c r="L6" s="164"/>
      <c r="M6" s="138"/>
      <c r="N6" s="886"/>
      <c r="O6" s="1219"/>
      <c r="P6" s="1219"/>
      <c r="Q6" s="1219"/>
      <c r="R6" s="1219"/>
      <c r="S6" s="1219"/>
      <c r="T6" s="887"/>
      <c r="U6" s="138"/>
    </row>
    <row r="7" spans="1:21" ht="18" customHeight="1" x14ac:dyDescent="0.2">
      <c r="A7" s="138"/>
      <c r="B7" s="160"/>
      <c r="C7" s="268">
        <v>1</v>
      </c>
      <c r="D7" s="269" t="s">
        <v>1</v>
      </c>
      <c r="E7" s="270" t="str">
        <f>IF(VLOOKUP(CONCATENATE($C$3,"-",C7),Languages!$A:$D,1,TRUE)=CONCATENATE($C$3,"-",C7),VLOOKUP(CONCATENATE($C$3,"-",C7),Languages!$A:$D,Summary!$C$7,TRUE),NA())</f>
        <v>Kriittisten palveluiden ja niiden riippuvuuksien tunnistaminen</v>
      </c>
      <c r="F7" s="208"/>
      <c r="H7" s="271" t="str">
        <f ca="1">VLOOKUP(VLOOKUP(CONCATENATE($C$3,"-",$C7),Data!$K:$O,5,FALSE),Parameters!$C$7:$F$10,Summary!$C$7,FALSE)</f>
        <v>Kypsyystaso 0</v>
      </c>
      <c r="I7" s="505" t="str">
        <f>IF(VLOOKUP("KM110",Languages!$A:$D,1,TRUE)="KM110",VLOOKUP("KM110",Languages!$A:$D,Summary!$C$7,TRUE),NA())</f>
        <v>Päivämäärä</v>
      </c>
      <c r="J7" s="479"/>
      <c r="L7" s="164"/>
      <c r="M7" s="138"/>
      <c r="N7" s="886"/>
      <c r="O7" s="1219"/>
      <c r="P7" s="1219"/>
      <c r="Q7" s="1219"/>
      <c r="R7" s="1219"/>
      <c r="S7" s="1219"/>
      <c r="T7" s="887"/>
      <c r="U7" s="138"/>
    </row>
    <row r="8" spans="1:21" ht="18" customHeight="1" x14ac:dyDescent="0.25">
      <c r="A8" s="138"/>
      <c r="B8" s="160"/>
      <c r="C8" s="268">
        <v>2</v>
      </c>
      <c r="D8" s="269" t="s">
        <v>1</v>
      </c>
      <c r="E8" s="270" t="str">
        <f>IF(VLOOKUP(CONCATENATE($C$3,"-",C8),Languages!$A:$D,1,TRUE)=CONCATENATE($C$3,"-",C8),VLOOKUP(CONCATENATE($C$3,"-",C8),Languages!$A:$D,Summary!$C$7,TRUE),NA())</f>
        <v>Kriittisten palveluiden hallinta</v>
      </c>
      <c r="F8" s="208"/>
      <c r="H8" s="271" t="str">
        <f ca="1">VLOOKUP(VLOOKUP(CONCATENATE($C$3,"-",$C8),Data!$K:$O,5,FALSE),Parameters!$C$7:$F$10,Summary!$C$7,FALSE)</f>
        <v>Kypsyystaso 0</v>
      </c>
      <c r="I8" s="1217"/>
      <c r="J8" s="1218"/>
      <c r="L8" s="164"/>
      <c r="M8" s="138"/>
      <c r="N8" s="886"/>
      <c r="O8" s="1219"/>
      <c r="P8" s="1219"/>
      <c r="Q8" s="1219"/>
      <c r="R8" s="1219"/>
      <c r="S8" s="1219"/>
      <c r="T8" s="887"/>
      <c r="U8" s="138"/>
    </row>
    <row r="9" spans="1:21" ht="18" customHeight="1" x14ac:dyDescent="0.2">
      <c r="A9" s="138"/>
      <c r="B9" s="160"/>
      <c r="C9" s="268">
        <v>3</v>
      </c>
      <c r="D9" s="269" t="s">
        <v>1</v>
      </c>
      <c r="E9" s="270" t="str">
        <f>IF(VLOOKUP(CONCATENATE($C$3,"-",C9),Languages!$A:$D,1,TRUE)=CONCATENATE($C$3,"-",C9),VLOOKUP(CONCATENATE($C$3,"-",C9),Languages!$A:$D,Summary!$C$7,TRUE),NA())</f>
        <v>Kriittisten palveluiden kyberhäiriöiden vaikutusten minimointi</v>
      </c>
      <c r="F9" s="208"/>
      <c r="H9" s="271" t="str">
        <f ca="1">VLOOKUP(VLOOKUP(CONCATENATE($C$3,"-",$C9),Data!$K:$O,5,FALSE),Parameters!$C$7:$F$10,Summary!$C$7,FALSE)</f>
        <v>Kypsyystaso 0</v>
      </c>
      <c r="I9" s="505" t="str">
        <f>IF(VLOOKUP("KM111",Languages!$A:$D,1,TRUE)="KM111",VLOOKUP("KM111",Languages!$A:$D,Summary!$C$7,TRUE),NA())</f>
        <v>Osallistujat</v>
      </c>
      <c r="J9" s="479"/>
      <c r="L9" s="164"/>
      <c r="M9" s="138"/>
      <c r="N9" s="886"/>
      <c r="O9" s="1219"/>
      <c r="P9" s="1219"/>
      <c r="Q9" s="1219"/>
      <c r="R9" s="1219"/>
      <c r="S9" s="1219"/>
      <c r="T9" s="887"/>
      <c r="U9" s="138"/>
    </row>
    <row r="10" spans="1:21" ht="18" customHeight="1" x14ac:dyDescent="0.25">
      <c r="A10" s="138"/>
      <c r="B10" s="160"/>
      <c r="C10" s="268"/>
      <c r="D10" s="269"/>
      <c r="E10" s="270"/>
      <c r="F10" s="429"/>
      <c r="G10" s="271"/>
      <c r="H10" s="429"/>
      <c r="I10" s="1208"/>
      <c r="J10" s="1209"/>
      <c r="L10" s="164"/>
      <c r="M10" s="138"/>
      <c r="N10" s="886"/>
      <c r="O10" s="1219"/>
      <c r="P10" s="1219"/>
      <c r="Q10" s="1219"/>
      <c r="R10" s="1219"/>
      <c r="S10" s="1219"/>
      <c r="T10" s="887"/>
      <c r="U10" s="138"/>
    </row>
    <row r="11" spans="1:21" ht="18" customHeight="1" x14ac:dyDescent="0.25">
      <c r="A11" s="138"/>
      <c r="B11" s="160"/>
      <c r="C11" s="268"/>
      <c r="D11" s="269"/>
      <c r="E11" s="270"/>
      <c r="F11" s="587"/>
      <c r="G11" s="271"/>
      <c r="H11" s="587"/>
      <c r="I11" s="1210"/>
      <c r="J11" s="1211"/>
      <c r="L11" s="164"/>
      <c r="M11" s="138"/>
      <c r="N11" s="886"/>
      <c r="O11" s="1219"/>
      <c r="P11" s="1219"/>
      <c r="Q11" s="1219"/>
      <c r="R11" s="1219"/>
      <c r="S11" s="1219"/>
      <c r="T11" s="887"/>
      <c r="U11" s="138"/>
    </row>
    <row r="12" spans="1:21" s="180" customFormat="1" ht="30" customHeight="1" x14ac:dyDescent="0.3">
      <c r="A12" s="169"/>
      <c r="B12" s="273"/>
      <c r="C12" s="274">
        <v>1</v>
      </c>
      <c r="D12" s="274" t="str">
        <f>IF(VLOOKUP(CONCATENATE($C$3,"-",C12),Languages!$A:$D,1,TRUE)=CONCATENATE($C$3,"-",C12),VLOOKUP(CONCATENATE($C$3,"-",C12),Languages!$A:$D,Summary!$C$7,TRUE),NA())</f>
        <v>Kriittisten palveluiden ja niiden riippuvuuksien tunnistaminen</v>
      </c>
      <c r="E12" s="173"/>
      <c r="F12" s="275"/>
      <c r="G12" s="275"/>
      <c r="H12" s="276"/>
      <c r="I12" s="276"/>
      <c r="J12" s="276"/>
      <c r="K12" s="276"/>
      <c r="L12" s="277"/>
      <c r="M12" s="278"/>
      <c r="N12" s="886"/>
      <c r="O12" s="1219"/>
      <c r="P12" s="1219"/>
      <c r="Q12" s="1219"/>
      <c r="R12" s="1219"/>
      <c r="S12" s="1219"/>
      <c r="T12" s="887"/>
      <c r="U12" s="278"/>
    </row>
    <row r="13" spans="1:21" s="282" customFormat="1" ht="30" customHeight="1" x14ac:dyDescent="0.25">
      <c r="A13" s="279"/>
      <c r="B13" s="280"/>
      <c r="C13" s="1212" t="str">
        <f>IF(VLOOKUP(CONCATENATE($C$3,"-",$C12,"-0"),Languages!$A:$D,1,TRUE)=CONCATENATE($C$3,"-",$C12,"-0"),VLOOKUP(CONCATENATE($C$3,"-",$C12,"-0"),Languages!$A:$D,Summary!$C$7,TRUE),NA())</f>
        <v>Organisaation tulee tunnistaa oma roolinsa yhteiskunnan kannalta kriittisten palveluiden tuottamisessa, tietää mitä näiden palveluiden tuottaminen vaatii ja ymmärtää millaiset vaikutukset palveluiden vikaantumisella saattaisi olla.</v>
      </c>
      <c r="D13" s="1212"/>
      <c r="E13" s="1212"/>
      <c r="F13" s="1212"/>
      <c r="G13" s="1212"/>
      <c r="H13" s="1212"/>
      <c r="I13" s="1212"/>
      <c r="J13" s="1212"/>
      <c r="K13" s="1212"/>
      <c r="L13" s="281"/>
      <c r="M13" s="279"/>
      <c r="N13" s="886"/>
      <c r="O13" s="1219"/>
      <c r="P13" s="1219"/>
      <c r="Q13" s="1219"/>
      <c r="R13" s="1219"/>
      <c r="S13" s="1219"/>
      <c r="T13" s="887"/>
      <c r="U13" s="279"/>
    </row>
    <row r="14" spans="1:21" s="180" customFormat="1" ht="30" customHeight="1" x14ac:dyDescent="0.3">
      <c r="A14" s="169"/>
      <c r="B14" s="273"/>
      <c r="C14" s="274">
        <v>2</v>
      </c>
      <c r="D14" s="274" t="str">
        <f>IF(VLOOKUP(CONCATENATE($C$3,"-",C14),Languages!$A:$D,1,TRUE)=CONCATENATE($C$3,"-",C14),VLOOKUP(CONCATENATE($C$3,"-",C14),Languages!$A:$D,Summary!$C$7,TRUE),NA())</f>
        <v>Kriittisten palveluiden hallinta</v>
      </c>
      <c r="E14" s="173"/>
      <c r="F14" s="275"/>
      <c r="G14" s="275"/>
      <c r="H14" s="276"/>
      <c r="I14" s="276"/>
      <c r="J14" s="276"/>
      <c r="K14" s="276"/>
      <c r="L14" s="176"/>
      <c r="M14" s="177"/>
      <c r="N14" s="886"/>
      <c r="O14" s="1219"/>
      <c r="P14" s="1219"/>
      <c r="Q14" s="1219"/>
      <c r="R14" s="1219"/>
      <c r="S14" s="1219"/>
      <c r="T14" s="887"/>
      <c r="U14" s="177"/>
    </row>
    <row r="15" spans="1:21" s="282" customFormat="1" ht="30" customHeight="1" x14ac:dyDescent="0.25">
      <c r="A15" s="279"/>
      <c r="B15" s="280"/>
      <c r="C15" s="1212" t="str">
        <f>IF(VLOOKUP(CONCATENATE($C$3,"-",$C14,"-0"),Languages!$A:$D,1,TRUE)=CONCATENATE($C$3,"-",$C14,"-0"),VLOOKUP(CONCATENATE($C$3,"-",$C14,"-0"),Languages!$A:$D,Summary!$C$7,TRUE),NA())</f>
        <v>Organisaation ylimmällä johdolla on vastuu riittävien resurssien turvaamisesta kriittisten palveluiden tuottamiseen ja päätöksentekovaltuuksien delegoinnista organisaatiossa siten, että päätöksenteko on tehokasta ja se tehdään oikeassa paikassa. Kriittisten palveluiden toimittamiseen liittyvien tietoverkkojen ja -järjestelmien riskit tulee arvioida osana koko organisaation riskejä.</v>
      </c>
      <c r="D15" s="1212"/>
      <c r="E15" s="1212"/>
      <c r="F15" s="1212"/>
      <c r="G15" s="1212"/>
      <c r="H15" s="1212"/>
      <c r="I15" s="1212"/>
      <c r="J15" s="1212"/>
      <c r="K15" s="1212"/>
      <c r="L15" s="281"/>
      <c r="M15" s="309"/>
      <c r="N15" s="886"/>
      <c r="O15" s="1219"/>
      <c r="P15" s="1219"/>
      <c r="Q15" s="1219"/>
      <c r="R15" s="1219"/>
      <c r="S15" s="1219"/>
      <c r="T15" s="887"/>
      <c r="U15" s="309"/>
    </row>
    <row r="16" spans="1:21" s="180" customFormat="1" ht="30" customHeight="1" x14ac:dyDescent="0.3">
      <c r="A16" s="169"/>
      <c r="B16" s="273"/>
      <c r="C16" s="274">
        <v>3</v>
      </c>
      <c r="D16" s="274" t="str">
        <f>IF(VLOOKUP(CONCATENATE($C$3,"-",C16),Languages!$A:$D,1,TRUE)=CONCATENATE($C$3,"-",C16),VLOOKUP(CONCATENATE($C$3,"-",C16),Languages!$A:$D,Summary!$C$7,TRUE),NA())</f>
        <v>Kriittisten palveluiden kyberhäiriöiden vaikutusten minimointi</v>
      </c>
      <c r="E16" s="173"/>
      <c r="F16" s="275"/>
      <c r="G16" s="275"/>
      <c r="H16" s="276"/>
      <c r="I16" s="276"/>
      <c r="J16" s="276"/>
      <c r="K16" s="276"/>
      <c r="L16" s="176"/>
      <c r="M16" s="177"/>
      <c r="N16" s="886"/>
      <c r="O16" s="1219"/>
      <c r="P16" s="1219"/>
      <c r="Q16" s="1219"/>
      <c r="R16" s="1219"/>
      <c r="S16" s="1219"/>
      <c r="T16" s="887"/>
      <c r="U16" s="177"/>
    </row>
    <row r="17" spans="1:21" s="282" customFormat="1" ht="52.2" customHeight="1" x14ac:dyDescent="0.25">
      <c r="A17" s="309"/>
      <c r="B17" s="310"/>
      <c r="C17" s="1212" t="str">
        <f>IF(VLOOKUP(CONCATENATE($C$3,"-",$C16,"-0"),Languages!$A:$D,1,TRUE)=CONCATENATE($C$3,"-",$C16,"-0"),VLOOKUP(CONCATENATE($C$3,"-",$C16,"-0"),Languages!$A:$D,Summary!$C$7,TRUE),NA())</f>
        <v>Organisaatiolla tulee olla määritelty ja hyvin testattu kybertapahtumien ja -häiriöiden hallintaprosessi. Prosessin tarkoituksena on varmistaa kriittisten palveluiden toimintavarmuus järjestelmien tai palveluiden vikatilanteissa. Organisaation tulee myös huolehtia, että sillä on riittävät varautumistoimet vikatilanteiden vaikutusten rajaamiseksi tai pienentämiseksi ja että nämä toimet on mitoitettu suhteessa riskin ja mahdollisten vaikutusten suuruuteen.</v>
      </c>
      <c r="D17" s="1212"/>
      <c r="E17" s="1212"/>
      <c r="F17" s="1212"/>
      <c r="G17" s="1212"/>
      <c r="H17" s="1212"/>
      <c r="I17" s="1212"/>
      <c r="J17" s="1212"/>
      <c r="K17" s="1212"/>
      <c r="L17" s="281"/>
      <c r="M17" s="309"/>
      <c r="N17" s="888"/>
      <c r="O17" s="1220"/>
      <c r="P17" s="1220"/>
      <c r="Q17" s="1220"/>
      <c r="R17" s="1220"/>
      <c r="S17" s="1220"/>
      <c r="T17" s="889"/>
      <c r="U17" s="309"/>
    </row>
    <row r="18" spans="1:21" s="282" customFormat="1" ht="18" customHeight="1" x14ac:dyDescent="0.25">
      <c r="A18" s="309"/>
      <c r="B18" s="734"/>
      <c r="C18" s="734"/>
      <c r="D18" s="734"/>
      <c r="E18" s="734"/>
      <c r="F18" s="734"/>
      <c r="G18" s="734"/>
      <c r="H18" s="734"/>
      <c r="I18" s="734"/>
      <c r="J18" s="734"/>
      <c r="K18" s="734"/>
      <c r="L18" s="735"/>
      <c r="M18" s="138"/>
      <c r="N18" s="138"/>
      <c r="O18" s="255"/>
      <c r="P18" s="254"/>
      <c r="Q18" s="855"/>
      <c r="R18" s="254"/>
      <c r="S18" s="254"/>
      <c r="T18" s="138"/>
      <c r="U18" s="138"/>
    </row>
    <row r="19" spans="1:21" s="282" customFormat="1" ht="19.95" customHeight="1" x14ac:dyDescent="0.2">
      <c r="A19" s="309"/>
      <c r="B19" s="723"/>
      <c r="C19" s="721"/>
      <c r="D19" s="721"/>
      <c r="E19" s="721"/>
      <c r="F19" s="721"/>
      <c r="G19" s="721"/>
      <c r="H19" s="721"/>
      <c r="I19" s="721"/>
      <c r="J19" s="721"/>
      <c r="K19" s="721"/>
      <c r="L19" s="722"/>
      <c r="M19" s="256"/>
      <c r="N19" s="504" t="str">
        <f>IF(VLOOKUP("KM116",Languages!$A:$D,1,TRUE)="KM116",VLOOKUP("KM116",Languages!$A:$D,Summary!$C$7,TRUE),NA())</f>
        <v>EDELLINEN ARVIOINTI</v>
      </c>
      <c r="O19" s="442"/>
      <c r="P19" s="259"/>
      <c r="Q19" s="856" t="str">
        <f>IF(VLOOKUP("KM110",Languages!$A:$D,1,TRUE)="KM110",VLOOKUP("KM110",Languages!$A:$D,Summary!$C$7,TRUE),NA())</f>
        <v>Päivämäärä</v>
      </c>
      <c r="R19" s="259"/>
      <c r="S19" s="259"/>
      <c r="T19" s="150"/>
      <c r="U19" s="256"/>
    </row>
    <row r="20" spans="1:21" s="282" customFormat="1" ht="19.95" customHeight="1" x14ac:dyDescent="0.3">
      <c r="A20" s="309"/>
      <c r="B20" s="723"/>
      <c r="C20" s="274">
        <v>1</v>
      </c>
      <c r="D20" s="274" t="str">
        <f>IF(VLOOKUP(CONCATENATE($C$3,"-",C20),Languages!$A:$D,1,TRUE)=CONCATENATE($C$3,"-",C20),VLOOKUP(CONCATENATE($C$3,"-",C20),Languages!$A:$D,Summary!$C$7,TRUE),NA())</f>
        <v>Kriittisten palveluiden ja niiden riippuvuuksien tunnistaminen</v>
      </c>
      <c r="E20" s="274"/>
      <c r="F20" s="721"/>
      <c r="G20" s="721"/>
      <c r="H20" s="721"/>
      <c r="I20" s="721"/>
      <c r="J20" s="721"/>
      <c r="K20" s="721"/>
      <c r="L20" s="722"/>
      <c r="M20" s="309"/>
      <c r="N20" s="310"/>
      <c r="O20" s="443"/>
      <c r="P20" s="438"/>
      <c r="Q20" s="781"/>
      <c r="R20" s="712"/>
      <c r="S20" s="712"/>
      <c r="T20" s="281"/>
      <c r="U20" s="309"/>
    </row>
    <row r="21" spans="1:21" s="289" customFormat="1" ht="19.95" customHeight="1" x14ac:dyDescent="0.2">
      <c r="A21" s="308"/>
      <c r="B21" s="283"/>
      <c r="C21" s="284" t="str">
        <f>IF(VLOOKUP("GEN-LEVEL",Languages!$A:$D,1,TRUE)="GEN-LEVEL",VLOOKUP("GEN-LEVEL",Languages!$A:$D,Summary!$C$7,TRUE),NA())</f>
        <v>Taso</v>
      </c>
      <c r="D21" s="284"/>
      <c r="E21" s="285" t="str">
        <f>IF(VLOOKUP("GEN-PRACTICE",Languages!$A:$D,1,TRUE)="GEN-PRACTICE",VLOOKUP("GEN-PRACTICE",Languages!$A:$D,Summary!$C$7,TRUE),NA())</f>
        <v>Käytäntö</v>
      </c>
      <c r="F21" s="286"/>
      <c r="G21" s="1003" t="str">
        <f>IF(VLOOKUP("GEN-ANSWER",Languages!$A:$D,1,TRUE)="GEN-ANSWER",VLOOKUP("GEN-ANSWER",Languages!$A:$D,Summary!$C$7,TRUE),NA())</f>
        <v>Vastaus</v>
      </c>
      <c r="H21" s="1004" t="str">
        <f>IF(VLOOKUP("KM112",Languages!$A:$D,1,TRUE)="KM112",VLOOKUP("KM112",Languages!$A:$D,Summary!$C$7,TRUE),NA())</f>
        <v>Kommentit</v>
      </c>
      <c r="I21" s="1004" t="str">
        <f>IF(VLOOKUP("KM113",Languages!$A:$D,1,TRUE)="KM113",VLOOKUP("KM113",Languages!$A:$D,Summary!$C$7,TRUE),NA())</f>
        <v>Sisäinen viittaus</v>
      </c>
      <c r="J21" s="1004" t="str">
        <f>IF(VLOOKUP("KM114",Languages!$A:$D,1,TRUE)="KM114",VLOOKUP("KM114",Languages!$A:$D,Summary!$C$7,TRUE),NA())</f>
        <v>Ulkoinen viittaus</v>
      </c>
      <c r="K21" s="1004" t="str">
        <f>IF(VLOOKUP("KM115",Languages!$A:$D,1,TRUE)="KM115",VLOOKUP("KM115",Languages!$A:$D,Summary!$C$7,TRUE),NA())</f>
        <v>Kehityskohde</v>
      </c>
      <c r="L21" s="287"/>
      <c r="M21" s="288"/>
      <c r="N21" s="283"/>
      <c r="O21" s="503" t="str">
        <f>IF(VLOOKUP("GEN-ANSWER",Languages!$A:$D,1,TRUE)="GEN-ANSWER",VLOOKUP("GEN-ANSWER",Languages!$A:$D,Summary!$C$7,TRUE),NA())</f>
        <v>Vastaus</v>
      </c>
      <c r="P21" s="503" t="str">
        <f>IF(VLOOKUP("KM112",Languages!$A:$D,1,TRUE)="KM112",VLOOKUP("KM112",Languages!$A:$D,Summary!$C$7,TRUE),NA())</f>
        <v>Kommentit</v>
      </c>
      <c r="Q21" s="503" t="str">
        <f>IF(VLOOKUP("KM113",Languages!$A:$D,1,TRUE)="KM113",VLOOKUP("KM113",Languages!$A:$D,Summary!$C$7,TRUE),NA())</f>
        <v>Sisäinen viittaus</v>
      </c>
      <c r="R21" s="503" t="str">
        <f>IF(VLOOKUP("KM114",Languages!$A:$D,1,TRUE)="KM114",VLOOKUP("KM114",Languages!$A:$D,Summary!$C$7,TRUE),NA())</f>
        <v>Ulkoinen viittaus</v>
      </c>
      <c r="S21" s="503" t="str">
        <f>IF(VLOOKUP("KM115",Languages!$A:$D,1,TRUE)="KM115",VLOOKUP("KM115",Languages!$A:$D,Summary!$C$7,TRUE),NA())</f>
        <v>Kehityskohde</v>
      </c>
      <c r="T21" s="287"/>
      <c r="U21" s="288"/>
    </row>
    <row r="22" spans="1:21" s="293" customFormat="1" ht="34.950000000000003" customHeight="1" x14ac:dyDescent="0.25">
      <c r="A22" s="279"/>
      <c r="B22" s="1204"/>
      <c r="C22" s="1205">
        <v>1</v>
      </c>
      <c r="D22" s="397" t="s">
        <v>5</v>
      </c>
      <c r="E22" s="431" t="str">
        <f>IF(VLOOKUP(CONCATENATE($C$3,"-",$D22),Languages!$A:$D,1,TRUE)=CONCATENATE($C$3,"-",$D22),VLOOKUP(CONCATENATE($C$3,"-",$D22),Languages!$A:$D,Summary!$C$7,TRUE),NA())</f>
        <v>Organisaation tuottamat yhteiskunnalle kriittiset palvelut on tunnistettu ja dokumentoitu.</v>
      </c>
      <c r="F22" s="396">
        <f t="shared" ref="F22:F29" si="0">IFERROR(INT(LEFT($G22,1)),0)</f>
        <v>0</v>
      </c>
      <c r="G22" s="485"/>
      <c r="H22" s="540"/>
      <c r="I22" s="486"/>
      <c r="J22" s="486"/>
      <c r="K22" s="487"/>
      <c r="L22" s="292"/>
      <c r="M22" s="279"/>
      <c r="N22" s="1204"/>
      <c r="O22" s="1056" t="str">
        <f>VLOOKUP(VLOOKUP($C$3&amp;"-"&amp;$D22,Import!$C:$D,2,FALSE),Parameters!$C$18:$F$22,Summary!$C$7,FALSE)</f>
        <v xml:space="preserve">0 - Vastaus puuttuu </v>
      </c>
      <c r="P22" s="1032" t="str">
        <f>IF(VLOOKUP($C$3&amp;"-"&amp;$D22,Import!$C:$H,3,FALSE)=0,"",VLOOKUP($C$3&amp;"-"&amp;$D22,Import!$C:$H,3,FALSE))</f>
        <v/>
      </c>
      <c r="Q22" s="1032" t="str">
        <f>IF(VLOOKUP($C$3&amp;"-"&amp;$D22,Import!$C:$H,4,FALSE)=0,"",VLOOKUP($C$3&amp;"-"&amp;$D22,Import!$C:$H,4,FALSE))</f>
        <v/>
      </c>
      <c r="R22" s="1032" t="str">
        <f>IF(VLOOKUP($C$3&amp;"-"&amp;$D22,Import!$C:$H,5,FALSE)=0,"",VLOOKUP($C$3&amp;"-"&amp;$D22,Import!$C:$H,5,FALSE))</f>
        <v/>
      </c>
      <c r="S22" s="1033" t="str">
        <f>IF(VLOOKUP($C$3&amp;"-"&amp;$D22,Import!$C:$H,6,FALSE)=0,"",VLOOKUP($C$3&amp;"-"&amp;$D22,Import!$C:$H,6,FALSE))</f>
        <v/>
      </c>
      <c r="T22" s="292"/>
      <c r="U22" s="279"/>
    </row>
    <row r="23" spans="1:21" s="293" customFormat="1" ht="34.950000000000003" customHeight="1" x14ac:dyDescent="0.25">
      <c r="A23" s="279"/>
      <c r="B23" s="1204"/>
      <c r="C23" s="1206"/>
      <c r="D23" s="290" t="s">
        <v>7</v>
      </c>
      <c r="E23" s="427" t="str">
        <f>IF(VLOOKUP(CONCATENATE($C$3,"-",$D23),Languages!$A:$D,1,TRUE)=CONCATENATE($C$3,"-",$D23),VLOOKUP(CONCATENATE($C$3,"-",$D23),Languages!$A:$D,Summary!$C$7,TRUE),NA())</f>
        <v>(Yhteiskunnalle kriittisten) palveluiden tuottamiseen tarvittava data on tunnistettu ja dokumentoitu.</v>
      </c>
      <c r="F23" s="291">
        <f t="shared" si="0"/>
        <v>0</v>
      </c>
      <c r="G23" s="311"/>
      <c r="H23" s="480"/>
      <c r="I23" s="480"/>
      <c r="J23" s="480"/>
      <c r="K23" s="488"/>
      <c r="L23" s="292"/>
      <c r="M23" s="279"/>
      <c r="N23" s="1204"/>
      <c r="O23" s="1057" t="str">
        <f>VLOOKUP(VLOOKUP($C$3&amp;"-"&amp;$D23,Import!$C:$D,2,FALSE),Parameters!$C$18:$F$22,Summary!$C$7,FALSE)</f>
        <v xml:space="preserve">0 - Vastaus puuttuu </v>
      </c>
      <c r="P23" s="1015" t="str">
        <f>IF(VLOOKUP($C$3&amp;"-"&amp;$D23,Import!$C:$H,3,FALSE)=0,"",VLOOKUP($C$3&amp;"-"&amp;$D23,Import!$C:$H,3,FALSE))</f>
        <v/>
      </c>
      <c r="Q23" s="1015" t="str">
        <f>IF(VLOOKUP($C$3&amp;"-"&amp;$D23,Import!$C:$H,4,FALSE)=0,"",VLOOKUP($C$3&amp;"-"&amp;$D23,Import!$C:$H,4,FALSE))</f>
        <v/>
      </c>
      <c r="R23" s="1015" t="str">
        <f>IF(VLOOKUP($C$3&amp;"-"&amp;$D23,Import!$C:$H,5,FALSE)=0,"",VLOOKUP($C$3&amp;"-"&amp;$D23,Import!$C:$H,5,FALSE))</f>
        <v/>
      </c>
      <c r="S23" s="1016" t="str">
        <f>IF(VLOOKUP($C$3&amp;"-"&amp;$D23,Import!$C:$H,6,FALSE)=0,"",VLOOKUP($C$3&amp;"-"&amp;$D23,Import!$C:$H,6,FALSE))</f>
        <v/>
      </c>
      <c r="T23" s="292"/>
      <c r="U23" s="279"/>
    </row>
    <row r="24" spans="1:21" s="293" customFormat="1" ht="34.950000000000003" customHeight="1" x14ac:dyDescent="0.25">
      <c r="A24" s="279"/>
      <c r="B24" s="1204"/>
      <c r="C24" s="1206"/>
      <c r="D24" s="290" t="s">
        <v>8</v>
      </c>
      <c r="E24" s="427" t="str">
        <f>IF(VLOOKUP(CONCATENATE($C$3,"-",$D24),Languages!$A:$D,1,TRUE)=CONCATENATE($C$3,"-",$D24),VLOOKUP(CONCATENATE($C$3,"-",$D24),Languages!$A:$D,Summary!$C$7,TRUE),NA())</f>
        <v>Palveluiden tuottamiseen tarvittavat prosessit on tunnistettu ja dokumentoitu.</v>
      </c>
      <c r="F24" s="291">
        <f t="shared" si="0"/>
        <v>0</v>
      </c>
      <c r="G24" s="311"/>
      <c r="H24" s="480"/>
      <c r="I24" s="480"/>
      <c r="J24" s="480"/>
      <c r="K24" s="488"/>
      <c r="L24" s="292"/>
      <c r="M24" s="279"/>
      <c r="N24" s="1204"/>
      <c r="O24" s="1057" t="str">
        <f>VLOOKUP(VLOOKUP($C$3&amp;"-"&amp;$D24,Import!$C:$D,2,FALSE),Parameters!$C$18:$F$22,Summary!$C$7,FALSE)</f>
        <v xml:space="preserve">0 - Vastaus puuttuu </v>
      </c>
      <c r="P24" s="1015" t="str">
        <f>IF(VLOOKUP($C$3&amp;"-"&amp;$D24,Import!$C:$H,3,FALSE)=0,"",VLOOKUP($C$3&amp;"-"&amp;$D24,Import!$C:$H,3,FALSE))</f>
        <v/>
      </c>
      <c r="Q24" s="1015" t="str">
        <f>IF(VLOOKUP($C$3&amp;"-"&amp;$D24,Import!$C:$H,4,FALSE)=0,"",VLOOKUP($C$3&amp;"-"&amp;$D24,Import!$C:$H,4,FALSE))</f>
        <v/>
      </c>
      <c r="R24" s="1015" t="str">
        <f>IF(VLOOKUP($C$3&amp;"-"&amp;$D24,Import!$C:$H,5,FALSE)=0,"",VLOOKUP($C$3&amp;"-"&amp;$D24,Import!$C:$H,5,FALSE))</f>
        <v/>
      </c>
      <c r="S24" s="1016" t="str">
        <f>IF(VLOOKUP($C$3&amp;"-"&amp;$D24,Import!$C:$H,6,FALSE)=0,"",VLOOKUP($C$3&amp;"-"&amp;$D24,Import!$C:$H,6,FALSE))</f>
        <v/>
      </c>
      <c r="T24" s="292"/>
      <c r="U24" s="279"/>
    </row>
    <row r="25" spans="1:21" s="293" customFormat="1" ht="34.950000000000003" customHeight="1" x14ac:dyDescent="0.25">
      <c r="A25" s="279"/>
      <c r="B25" s="1204"/>
      <c r="C25" s="1207"/>
      <c r="D25" s="418" t="s">
        <v>9</v>
      </c>
      <c r="E25" s="433" t="str">
        <f>IF(VLOOKUP(CONCATENATE($C$3,"-",$D25),Languages!$A:$D,1,TRUE)=CONCATENATE($C$3,"-",$D25),VLOOKUP(CONCATENATE($C$3,"-",$D25),Languages!$A:$D,Summary!$C$7,TRUE),NA())</f>
        <v>Palveluiden tuottamiseen tarvittavat järjestelmät (IT- ja OT-omaisuus) on tunnistettu ja dokumentoitu.</v>
      </c>
      <c r="F25" s="403">
        <f t="shared" si="0"/>
        <v>0</v>
      </c>
      <c r="G25" s="489"/>
      <c r="H25" s="481"/>
      <c r="I25" s="481"/>
      <c r="J25" s="481"/>
      <c r="K25" s="490"/>
      <c r="L25" s="292"/>
      <c r="M25" s="279"/>
      <c r="N25" s="1204"/>
      <c r="O25" s="1058" t="str">
        <f>VLOOKUP(VLOOKUP($C$3&amp;"-"&amp;$D25,Import!$C:$D,2,FALSE),Parameters!$C$18:$F$22,Summary!$C$7,FALSE)</f>
        <v xml:space="preserve">0 - Vastaus puuttuu </v>
      </c>
      <c r="P25" s="1034" t="str">
        <f>IF(VLOOKUP($C$3&amp;"-"&amp;$D25,Import!$C:$H,3,FALSE)=0,"",VLOOKUP($C$3&amp;"-"&amp;$D25,Import!$C:$H,3,FALSE))</f>
        <v/>
      </c>
      <c r="Q25" s="1034" t="str">
        <f>IF(VLOOKUP($C$3&amp;"-"&amp;$D25,Import!$C:$H,4,FALSE)=0,"",VLOOKUP($C$3&amp;"-"&amp;$D25,Import!$C:$H,4,FALSE))</f>
        <v/>
      </c>
      <c r="R25" s="1034" t="str">
        <f>IF(VLOOKUP($C$3&amp;"-"&amp;$D25,Import!$C:$H,5,FALSE)=0,"",VLOOKUP($C$3&amp;"-"&amp;$D25,Import!$C:$H,5,FALSE))</f>
        <v/>
      </c>
      <c r="S25" s="1035" t="str">
        <f>IF(VLOOKUP($C$3&amp;"-"&amp;$D25,Import!$C:$H,6,FALSE)=0,"",VLOOKUP($C$3&amp;"-"&amp;$D25,Import!$C:$H,6,FALSE))</f>
        <v/>
      </c>
      <c r="T25" s="292"/>
      <c r="U25" s="279"/>
    </row>
    <row r="26" spans="1:21" s="293" customFormat="1" ht="34.950000000000003" customHeight="1" x14ac:dyDescent="0.25">
      <c r="A26" s="279"/>
      <c r="B26" s="1204"/>
      <c r="C26" s="1201">
        <v>2</v>
      </c>
      <c r="D26" s="399" t="s">
        <v>10</v>
      </c>
      <c r="E26" s="430" t="str">
        <f>IF(VLOOKUP(CONCATENATE($C$3,"-",$D26),Languages!$A:$D,1,TRUE)=CONCATENATE($C$3,"-",$D26),VLOOKUP(CONCATENATE($C$3,"-",$D26),Languages!$A:$D,Summary!$C$7,TRUE),NA())</f>
        <v>Palveluiden tuottamiseen tarvittavat tilat ja laitteet on tunnistettu ja dokumentoitu.</v>
      </c>
      <c r="F26" s="396">
        <f t="shared" si="0"/>
        <v>0</v>
      </c>
      <c r="G26" s="485"/>
      <c r="H26" s="482"/>
      <c r="I26" s="482"/>
      <c r="J26" s="482"/>
      <c r="K26" s="491"/>
      <c r="L26" s="295"/>
      <c r="M26" s="309"/>
      <c r="N26" s="1204"/>
      <c r="O26" s="1056" t="str">
        <f>VLOOKUP(VLOOKUP($C$3&amp;"-"&amp;$D26,Import!$C:$D,2,FALSE),Parameters!$C$18:$F$22,Summary!$C$7,FALSE)</f>
        <v xml:space="preserve">0 - Vastaus puuttuu </v>
      </c>
      <c r="P26" s="1022" t="str">
        <f>IF(VLOOKUP($C$3&amp;"-"&amp;$D26,Import!$C:$H,3,FALSE)=0,"",VLOOKUP($C$3&amp;"-"&amp;$D26,Import!$C:$H,3,FALSE))</f>
        <v/>
      </c>
      <c r="Q26" s="1022" t="str">
        <f>IF(VLOOKUP($C$3&amp;"-"&amp;$D26,Import!$C:$H,4,FALSE)=0,"",VLOOKUP($C$3&amp;"-"&amp;$D26,Import!$C:$H,4,FALSE))</f>
        <v/>
      </c>
      <c r="R26" s="1022" t="str">
        <f>IF(VLOOKUP($C$3&amp;"-"&amp;$D26,Import!$C:$H,5,FALSE)=0,"",VLOOKUP($C$3&amp;"-"&amp;$D26,Import!$C:$H,5,FALSE))</f>
        <v/>
      </c>
      <c r="S26" s="1023" t="str">
        <f>IF(VLOOKUP($C$3&amp;"-"&amp;$D26,Import!$C:$H,6,FALSE)=0,"",VLOOKUP($C$3&amp;"-"&amp;$D26,Import!$C:$H,6,FALSE))</f>
        <v/>
      </c>
      <c r="T26" s="295"/>
      <c r="U26" s="309"/>
    </row>
    <row r="27" spans="1:21" s="293" customFormat="1" ht="34.950000000000003" customHeight="1" x14ac:dyDescent="0.25">
      <c r="A27" s="279"/>
      <c r="B27" s="1204"/>
      <c r="C27" s="1202"/>
      <c r="D27" s="294" t="s">
        <v>11</v>
      </c>
      <c r="E27" s="428" t="str">
        <f>IF(VLOOKUP(CONCATENATE($C$3,"-",$D27),Languages!$A:$D,1,TRUE)=CONCATENATE($C$3,"-",$D27),VLOOKUP(CONCATENATE($C$3,"-",$D27),Languages!$A:$D,Summary!$C$7,TRUE),NA())</f>
        <v>Palveluiden tuottamiseen tarvittavat toimitusketjut on tunnistettu ja dokumentoitu.</v>
      </c>
      <c r="F27" s="291">
        <f t="shared" si="0"/>
        <v>0</v>
      </c>
      <c r="G27" s="311"/>
      <c r="H27" s="483"/>
      <c r="I27" s="483"/>
      <c r="J27" s="483"/>
      <c r="K27" s="492"/>
      <c r="L27" s="295"/>
      <c r="M27" s="309"/>
      <c r="N27" s="1204"/>
      <c r="O27" s="1057" t="str">
        <f>VLOOKUP(VLOOKUP($C$3&amp;"-"&amp;$D27,Import!$C:$D,2,FALSE),Parameters!$C$18:$F$22,Summary!$C$7,FALSE)</f>
        <v xml:space="preserve">0 - Vastaus puuttuu </v>
      </c>
      <c r="P27" s="1017" t="str">
        <f>IF(VLOOKUP($C$3&amp;"-"&amp;$D27,Import!$C:$H,3,FALSE)=0,"",VLOOKUP($C$3&amp;"-"&amp;$D27,Import!$C:$H,3,FALSE))</f>
        <v/>
      </c>
      <c r="Q27" s="1017" t="str">
        <f>IF(VLOOKUP($C$3&amp;"-"&amp;$D27,Import!$C:$H,4,FALSE)=0,"",VLOOKUP($C$3&amp;"-"&amp;$D27,Import!$C:$H,4,FALSE))</f>
        <v/>
      </c>
      <c r="R27" s="1017" t="str">
        <f>IF(VLOOKUP($C$3&amp;"-"&amp;$D27,Import!$C:$H,5,FALSE)=0,"",VLOOKUP($C$3&amp;"-"&amp;$D27,Import!$C:$H,5,FALSE))</f>
        <v/>
      </c>
      <c r="S27" s="1018" t="str">
        <f>IF(VLOOKUP($C$3&amp;"-"&amp;$D27,Import!$C:$H,6,FALSE)=0,"",VLOOKUP($C$3&amp;"-"&amp;$D27,Import!$C:$H,6,FALSE))</f>
        <v/>
      </c>
      <c r="T27" s="295"/>
      <c r="U27" s="309"/>
    </row>
    <row r="28" spans="1:21" s="293" customFormat="1" ht="68.400000000000006" customHeight="1" x14ac:dyDescent="0.25">
      <c r="A28" s="279"/>
      <c r="B28" s="1200"/>
      <c r="C28" s="1203"/>
      <c r="D28" s="402" t="s">
        <v>12</v>
      </c>
      <c r="E28" s="433" t="str">
        <f>IF(VLOOKUP(CONCATENATE($C$3,"-",$D28),Languages!$A:$D,1,TRUE)=CONCATENATE($C$3,"-",$D28),VLOOKUP(CONCATENATE($C$3,"-",$D28),Languages!$A:$D,Summary!$C$7,TRUE),NA())</f>
        <v>Organisaation on määrittänyt sen kriittisen ajanjakson, jonka jälkeen yhteiskunnan normaaliin toimintaan koituu huomattavaa vaikusta, mikäli kriittisten palveluiden tarvitsemat edellä luetellut resurssit (data, prosessit, järjestelmät, tilat tai toimitusketjut) eivät ole käytettävissä.</v>
      </c>
      <c r="F28" s="403">
        <f t="shared" si="0"/>
        <v>0</v>
      </c>
      <c r="G28" s="489"/>
      <c r="H28" s="484"/>
      <c r="I28" s="484"/>
      <c r="J28" s="484"/>
      <c r="K28" s="493"/>
      <c r="L28" s="295"/>
      <c r="M28" s="309"/>
      <c r="N28" s="1200"/>
      <c r="O28" s="1058" t="str">
        <f>VLOOKUP(VLOOKUP($C$3&amp;"-"&amp;$D28,Import!$C:$D,2,FALSE),Parameters!$C$18:$F$22,Summary!$C$7,FALSE)</f>
        <v xml:space="preserve">0 - Vastaus puuttuu </v>
      </c>
      <c r="P28" s="1024" t="str">
        <f>IF(VLOOKUP($C$3&amp;"-"&amp;$D28,Import!$C:$H,3,FALSE)=0,"",VLOOKUP($C$3&amp;"-"&amp;$D28,Import!$C:$H,3,FALSE))</f>
        <v/>
      </c>
      <c r="Q28" s="1024" t="str">
        <f>IF(VLOOKUP($C$3&amp;"-"&amp;$D28,Import!$C:$H,4,FALSE)=0,"",VLOOKUP($C$3&amp;"-"&amp;$D28,Import!$C:$H,4,FALSE))</f>
        <v/>
      </c>
      <c r="R28" s="1024" t="str">
        <f>IF(VLOOKUP($C$3&amp;"-"&amp;$D28,Import!$C:$H,5,FALSE)=0,"",VLOOKUP($C$3&amp;"-"&amp;$D28,Import!$C:$H,5,FALSE))</f>
        <v/>
      </c>
      <c r="S28" s="1025" t="str">
        <f>IF(VLOOKUP($C$3&amp;"-"&amp;$D28,Import!$C:$H,6,FALSE)=0,"",VLOOKUP($C$3&amp;"-"&amp;$D28,Import!$C:$H,6,FALSE))</f>
        <v/>
      </c>
      <c r="T28" s="295"/>
      <c r="U28" s="309"/>
    </row>
    <row r="29" spans="1:21" s="293" customFormat="1" ht="45" customHeight="1" x14ac:dyDescent="0.25">
      <c r="A29" s="279"/>
      <c r="B29" s="1200"/>
      <c r="C29" s="435">
        <v>3</v>
      </c>
      <c r="D29" s="425" t="s">
        <v>13</v>
      </c>
      <c r="E29" s="434" t="str">
        <f>IF(VLOOKUP(CONCATENATE($C$3,"-",$D29),Languages!$A:$D,1,TRUE)=CONCATENATE($C$3,"-",$D29),VLOOKUP(CONCATENATE($C$3,"-",$D29),Languages!$A:$D,Summary!$C$7,TRUE),NA())</f>
        <v>Palvelujen heikentymisen tai keskeytymisen aiheuttamat seurannaisvaikutukset yhteiskunnalle on tunnistettu ja dokumentoitu.</v>
      </c>
      <c r="F29" s="401">
        <f t="shared" si="0"/>
        <v>0</v>
      </c>
      <c r="G29" s="496"/>
      <c r="H29" s="494"/>
      <c r="I29" s="494"/>
      <c r="J29" s="494"/>
      <c r="K29" s="495"/>
      <c r="L29" s="295"/>
      <c r="M29" s="309"/>
      <c r="N29" s="1200"/>
      <c r="O29" s="1059" t="str">
        <f>VLOOKUP(VLOOKUP($C$3&amp;"-"&amp;$D29,Import!$C:$D,2,FALSE),Parameters!$C$18:$F$22,Summary!$C$7,FALSE)</f>
        <v xml:space="preserve">0 - Vastaus puuttuu </v>
      </c>
      <c r="P29" s="1026" t="str">
        <f>IF(VLOOKUP($C$3&amp;"-"&amp;$D29,Import!$C:$H,3,FALSE)=0,"",VLOOKUP($C$3&amp;"-"&amp;$D29,Import!$C:$H,3,FALSE))</f>
        <v/>
      </c>
      <c r="Q29" s="1026" t="str">
        <f>IF(VLOOKUP($C$3&amp;"-"&amp;$D29,Import!$C:$H,4,FALSE)=0,"",VLOOKUP($C$3&amp;"-"&amp;$D29,Import!$C:$H,4,FALSE))</f>
        <v/>
      </c>
      <c r="R29" s="1026" t="str">
        <f>IF(VLOOKUP($C$3&amp;"-"&amp;$D29,Import!$C:$H,5,FALSE)=0,"",VLOOKUP($C$3&amp;"-"&amp;$D29,Import!$C:$H,5,FALSE))</f>
        <v/>
      </c>
      <c r="S29" s="1027" t="str">
        <f>IF(VLOOKUP($C$3&amp;"-"&amp;$D29,Import!$C:$H,6,FALSE)=0,"",VLOOKUP($C$3&amp;"-"&amp;$D29,Import!$C:$H,6,FALSE))</f>
        <v/>
      </c>
      <c r="T29" s="295"/>
      <c r="U29" s="309"/>
    </row>
    <row r="30" spans="1:21" ht="12.6" x14ac:dyDescent="0.25">
      <c r="A30" s="736"/>
      <c r="G30" s="1060"/>
      <c r="H30" s="1061"/>
      <c r="I30" s="1061"/>
      <c r="J30" s="1061"/>
      <c r="K30" s="1061"/>
      <c r="M30" s="737"/>
      <c r="T30" s="295"/>
      <c r="U30" s="309"/>
    </row>
    <row r="31" spans="1:21" ht="16.2" x14ac:dyDescent="0.3">
      <c r="A31" s="736"/>
      <c r="C31" s="274">
        <v>2</v>
      </c>
      <c r="D31" s="274" t="str">
        <f>IF(VLOOKUP(CONCATENATE($C$3,"-",C31),Languages!$A:$D,1,TRUE)=CONCATENATE($C$3,"-",C31),VLOOKUP(CONCATENATE($C$3,"-",C31),Languages!$A:$D,Summary!$C$7,TRUE),NA())</f>
        <v>Kriittisten palveluiden hallinta</v>
      </c>
      <c r="E31" s="173"/>
      <c r="G31" s="1060"/>
      <c r="H31" s="1061"/>
      <c r="I31" s="1061"/>
      <c r="J31" s="1061"/>
      <c r="K31" s="1061"/>
      <c r="M31" s="737"/>
      <c r="T31" s="295"/>
      <c r="U31" s="309"/>
    </row>
    <row r="32" spans="1:21" s="289" customFormat="1" ht="19.95" customHeight="1" x14ac:dyDescent="0.2">
      <c r="A32" s="308"/>
      <c r="B32" s="283"/>
      <c r="C32" s="284" t="str">
        <f>IF(VLOOKUP("GEN-LEVEL",Languages!$A:$D,1,TRUE)="GEN-LEVEL",VLOOKUP("GEN-LEVEL",Languages!$A:$D,Summary!$C$7,TRUE),NA())</f>
        <v>Taso</v>
      </c>
      <c r="D32" s="284"/>
      <c r="E32" s="285" t="str">
        <f>IF(VLOOKUP("GEN-PRACTICE",Languages!$A:$D,1,TRUE)="GEN-PRACTICE",VLOOKUP("GEN-PRACTICE",Languages!$A:$D,Summary!$C$7,TRUE),NA())</f>
        <v>Käytäntö</v>
      </c>
      <c r="F32" s="286"/>
      <c r="G32" s="1003" t="str">
        <f>IF(VLOOKUP("GEN-ANSWER",Languages!$A:$D,1,TRUE)="GEN-ANSWER",VLOOKUP("GEN-ANSWER",Languages!$A:$D,Summary!$C$7,TRUE),NA())</f>
        <v>Vastaus</v>
      </c>
      <c r="H32" s="1004" t="str">
        <f>IF(VLOOKUP("KM112",Languages!$A:$D,1,TRUE)="KM112",VLOOKUP("KM112",Languages!$A:$D,Summary!$C$7,TRUE),NA())</f>
        <v>Kommentit</v>
      </c>
      <c r="I32" s="1004" t="str">
        <f>IF(VLOOKUP("KM113",Languages!$A:$D,1,TRUE)="KM113",VLOOKUP("KM113",Languages!$A:$D,Summary!$C$7,TRUE),NA())</f>
        <v>Sisäinen viittaus</v>
      </c>
      <c r="J32" s="1004" t="str">
        <f>IF(VLOOKUP("KM114",Languages!$A:$D,1,TRUE)="KM114",VLOOKUP("KM114",Languages!$A:$D,Summary!$C$7,TRUE),NA())</f>
        <v>Ulkoinen viittaus</v>
      </c>
      <c r="K32" s="1004" t="str">
        <f>IF(VLOOKUP("KM115",Languages!$A:$D,1,TRUE)="KM115",VLOOKUP("KM115",Languages!$A:$D,Summary!$C$7,TRUE),NA())</f>
        <v>Kehityskohde</v>
      </c>
      <c r="L32" s="287"/>
      <c r="M32" s="288"/>
      <c r="N32" s="283"/>
      <c r="O32" s="503" t="str">
        <f>IF(VLOOKUP("GEN-ANSWER",Languages!$A:$D,1,TRUE)="GEN-ANSWER",VLOOKUP("GEN-ANSWER",Languages!$A:$D,Summary!$C$7,TRUE),NA())</f>
        <v>Vastaus</v>
      </c>
      <c r="P32" s="286" t="str">
        <f>IF(VLOOKUP("KM112",Languages!$A:$D,1,TRUE)="KM112",VLOOKUP("KM112",Languages!$A:$D,Summary!$C$7,TRUE),NA())</f>
        <v>Kommentit</v>
      </c>
      <c r="Q32" s="286" t="str">
        <f>IF(VLOOKUP("KM113",Languages!$A:$D,1,TRUE)="KM113",VLOOKUP("KM113",Languages!$A:$D,Summary!$C$7,TRUE),NA())</f>
        <v>Sisäinen viittaus</v>
      </c>
      <c r="R32" s="286" t="str">
        <f>IF(VLOOKUP("KM114",Languages!$A:$D,1,TRUE)="KM114",VLOOKUP("KM114",Languages!$A:$D,Summary!$C$7,TRUE),NA())</f>
        <v>Ulkoinen viittaus</v>
      </c>
      <c r="S32" s="286" t="str">
        <f>IF(VLOOKUP("KM115",Languages!$A:$D,1,TRUE)="KM115",VLOOKUP("KM115",Languages!$A:$D,Summary!$C$7,TRUE),NA())</f>
        <v>Kehityskohde</v>
      </c>
      <c r="T32" s="287"/>
      <c r="U32" s="288"/>
    </row>
    <row r="33" spans="1:21" s="300" customFormat="1" ht="64.8" customHeight="1" x14ac:dyDescent="0.25">
      <c r="A33" s="309"/>
      <c r="B33" s="1213"/>
      <c r="C33" s="1205">
        <v>1</v>
      </c>
      <c r="D33" s="406" t="s">
        <v>17</v>
      </c>
      <c r="E33" s="431" t="str">
        <f>IF(VLOOKUP(CONCATENATE($C$3,"-",$D33),Languages!$A:$D,1,TRUE)=CONCATENATE($C$3,"-",$D33),VLOOKUP(CONCATENATE($C$3,"-",$D33),Languages!$A:$D,Summary!$C$7,TRUE),NA())</f>
        <v>Kaikki resurssit (data, prosessit, järjestelmät, tilat ja toimitusketjut), joita tarvitaan (yhteiskunnalle kriittisten) palveluiden tuottamiseen, ovat organisaation turvallisuuden hallinnan politiikkojen ja prosessien piirissä.</v>
      </c>
      <c r="F33" s="396">
        <f>IFERROR(INT(LEFT($G33,1)),0)</f>
        <v>0</v>
      </c>
      <c r="G33" s="485"/>
      <c r="H33" s="486"/>
      <c r="I33" s="486"/>
      <c r="J33" s="486"/>
      <c r="K33" s="487"/>
      <c r="L33" s="299"/>
      <c r="M33" s="309"/>
      <c r="N33" s="1213"/>
      <c r="O33" s="1056" t="str">
        <f>VLOOKUP(VLOOKUP($C$3&amp;"-"&amp;$D33,Import!$C:$D,2,FALSE),Parameters!$C$18:$F$22,Summary!$C$7,FALSE)</f>
        <v xml:space="preserve">0 - Vastaus puuttuu </v>
      </c>
      <c r="P33" s="1032" t="str">
        <f>IF(VLOOKUP($C$3&amp;"-"&amp;$D33,Import!$C:$H,3,FALSE)=0,"",VLOOKUP($C$3&amp;"-"&amp;$D33,Import!$C:$H,3,FALSE))</f>
        <v/>
      </c>
      <c r="Q33" s="1032" t="str">
        <f>IF(VLOOKUP($C$3&amp;"-"&amp;$D33,Import!$C:$H,4,FALSE)=0,"",VLOOKUP($C$3&amp;"-"&amp;$D33,Import!$C:$H,4,FALSE))</f>
        <v/>
      </c>
      <c r="R33" s="1032" t="str">
        <f>IF(VLOOKUP($C$3&amp;"-"&amp;$D33,Import!$C:$H,5,FALSE)=0,"",VLOOKUP($C$3&amp;"-"&amp;$D33,Import!$C:$H,5,FALSE))</f>
        <v/>
      </c>
      <c r="S33" s="1033" t="str">
        <f>IF(VLOOKUP($C$3&amp;"-"&amp;$D33,Import!$C:$H,6,FALSE)=0,"",VLOOKUP($C$3&amp;"-"&amp;$D33,Import!$C:$H,6,FALSE))</f>
        <v/>
      </c>
      <c r="T33" s="299"/>
      <c r="U33" s="309"/>
    </row>
    <row r="34" spans="1:21" s="300" customFormat="1" ht="61.2" customHeight="1" x14ac:dyDescent="0.25">
      <c r="A34" s="309"/>
      <c r="B34" s="1213"/>
      <c r="C34" s="1207"/>
      <c r="D34" s="407" t="s">
        <v>18</v>
      </c>
      <c r="E34" s="432" t="str">
        <f>IF(VLOOKUP(CONCATENATE($C$3,"-",$D34),Languages!$A:$D,1,TRUE)=CONCATENATE($C$3,"-",$D34),VLOOKUP(CONCATENATE($C$3,"-",$D34),Languages!$A:$D,Summary!$C$7,TRUE),NA())</f>
        <v>Kaikki resurssit (data, prosessit, järjestelmät, tilat ja toimitusketjut), joita tarvitaan yhteiskunnallisesti kriittisten palvelujen tuottamiseen, ovat organisaation riskienhallinnan politiikkojen ja prosessien piirissä.</v>
      </c>
      <c r="F34" s="403">
        <f>IFERROR(INT(LEFT($G34,1)),0)</f>
        <v>0</v>
      </c>
      <c r="G34" s="489"/>
      <c r="H34" s="481"/>
      <c r="I34" s="481"/>
      <c r="J34" s="481"/>
      <c r="K34" s="490"/>
      <c r="L34" s="299"/>
      <c r="M34" s="309"/>
      <c r="N34" s="1213"/>
      <c r="O34" s="1058" t="str">
        <f>VLOOKUP(VLOOKUP($C$3&amp;"-"&amp;$D34,Import!$C:$D,2,FALSE),Parameters!$C$18:$F$22,Summary!$C$7,FALSE)</f>
        <v xml:space="preserve">0 - Vastaus puuttuu </v>
      </c>
      <c r="P34" s="1034" t="str">
        <f>IF(VLOOKUP($C$3&amp;"-"&amp;$D34,Import!$C:$H,3,FALSE)=0,"",VLOOKUP($C$3&amp;"-"&amp;$D34,Import!$C:$H,3,FALSE))</f>
        <v/>
      </c>
      <c r="Q34" s="1034" t="str">
        <f>IF(VLOOKUP($C$3&amp;"-"&amp;$D34,Import!$C:$H,4,FALSE)=0,"",VLOOKUP($C$3&amp;"-"&amp;$D34,Import!$C:$H,4,FALSE))</f>
        <v/>
      </c>
      <c r="R34" s="1034" t="str">
        <f>IF(VLOOKUP($C$3&amp;"-"&amp;$D34,Import!$C:$H,5,FALSE)=0,"",VLOOKUP($C$3&amp;"-"&amp;$D34,Import!$C:$H,5,FALSE))</f>
        <v/>
      </c>
      <c r="S34" s="1035" t="str">
        <f>IF(VLOOKUP($C$3&amp;"-"&amp;$D34,Import!$C:$H,6,FALSE)=0,"",VLOOKUP($C$3&amp;"-"&amp;$D34,Import!$C:$H,6,FALSE))</f>
        <v/>
      </c>
      <c r="T34" s="299"/>
      <c r="U34" s="309"/>
    </row>
    <row r="35" spans="1:21" s="300" customFormat="1" ht="75" customHeight="1" x14ac:dyDescent="0.25">
      <c r="A35" s="309"/>
      <c r="B35" s="1213"/>
      <c r="C35" s="1201">
        <v>2</v>
      </c>
      <c r="D35" s="406" t="s">
        <v>19</v>
      </c>
      <c r="E35" s="431" t="str">
        <f>IF(VLOOKUP(CONCATENATE($C$3,"-",$D35),Languages!$A:$D,1,TRUE)=CONCATENATE($C$3,"-",$D35),VLOOKUP(CONCATENATE($C$3,"-",$D35),Languages!$A:$D,Summary!$C$7,TRUE),NA())</f>
        <v>Johtoryhmä vastaa organisaation lähestymistavasta ja johtotason politiikasta liittyen palveluiden tuottamiseen tarvittavien tietoverkkojen ja -järjestelmien turvallisuuteen. Organisaation riskienhallinnan päätöksentekijät pidetään tästä lähestymistavasta ja politiikoista ajan tasalla sopivin menettelyin.</v>
      </c>
      <c r="F35" s="396">
        <f t="shared" ref="F35:F41" si="1">IFERROR(INT(LEFT($G35,1)),0)</f>
        <v>0</v>
      </c>
      <c r="G35" s="485"/>
      <c r="H35" s="486"/>
      <c r="I35" s="486"/>
      <c r="J35" s="486"/>
      <c r="K35" s="487"/>
      <c r="L35" s="299"/>
      <c r="M35" s="309"/>
      <c r="N35" s="1213"/>
      <c r="O35" s="1056" t="str">
        <f>VLOOKUP(VLOOKUP($C$3&amp;"-"&amp;$D35,Import!$C:$D,2,FALSE),Parameters!$C$18:$F$22,Summary!$C$7,FALSE)</f>
        <v xml:space="preserve">0 - Vastaus puuttuu </v>
      </c>
      <c r="P35" s="1032" t="str">
        <f>IF(VLOOKUP($C$3&amp;"-"&amp;$D35,Import!$C:$H,3,FALSE)=0,"",VLOOKUP($C$3&amp;"-"&amp;$D35,Import!$C:$H,3,FALSE))</f>
        <v/>
      </c>
      <c r="Q35" s="1032" t="str">
        <f>IF(VLOOKUP($C$3&amp;"-"&amp;$D35,Import!$C:$H,4,FALSE)=0,"",VLOOKUP($C$3&amp;"-"&amp;$D35,Import!$C:$H,4,FALSE))</f>
        <v/>
      </c>
      <c r="R35" s="1032" t="str">
        <f>IF(VLOOKUP($C$3&amp;"-"&amp;$D35,Import!$C:$H,5,FALSE)=0,"",VLOOKUP($C$3&amp;"-"&amp;$D35,Import!$C:$H,5,FALSE))</f>
        <v/>
      </c>
      <c r="S35" s="1033" t="str">
        <f>IF(VLOOKUP($C$3&amp;"-"&amp;$D35,Import!$C:$H,6,FALSE)=0,"",VLOOKUP($C$3&amp;"-"&amp;$D35,Import!$C:$H,6,FALSE))</f>
        <v/>
      </c>
      <c r="T35" s="299"/>
      <c r="U35" s="309"/>
    </row>
    <row r="36" spans="1:21" s="300" customFormat="1" ht="75.599999999999994" customHeight="1" x14ac:dyDescent="0.25">
      <c r="A36" s="309"/>
      <c r="B36" s="1213"/>
      <c r="C36" s="1202"/>
      <c r="D36" s="298" t="s">
        <v>20</v>
      </c>
      <c r="E36" s="427" t="str">
        <f>IF(VLOOKUP(CONCATENATE($C$3,"-",$D36),Languages!$A:$D,1,TRUE)=CONCATENATE($C$3,"-",$D36),VLOOKUP(CONCATENATE($C$3,"-",$D36),Languages!$A:$D,Summary!$C$7,TRUE),NA())</f>
        <v>Johtoryhmä käsittelee palveluiden tuottamiseen tarvittavien tietoverkkojen ja -järjestelmien turvallisuuden tasoa säännöllisesti; käyttäen pohjana ajantasaista ja tarkkaa tietoa sekä organisaation ammattilaisten asiantuntemusta.</v>
      </c>
      <c r="F36" s="291">
        <f t="shared" si="1"/>
        <v>0</v>
      </c>
      <c r="G36" s="311"/>
      <c r="H36" s="480"/>
      <c r="I36" s="480"/>
      <c r="J36" s="480"/>
      <c r="K36" s="488"/>
      <c r="L36" s="299"/>
      <c r="M36" s="309"/>
      <c r="N36" s="1213"/>
      <c r="O36" s="1057" t="str">
        <f>VLOOKUP(VLOOKUP($C$3&amp;"-"&amp;$D36,Import!$C:$D,2,FALSE),Parameters!$C$18:$F$22,Summary!$C$7,FALSE)</f>
        <v xml:space="preserve">0 - Vastaus puuttuu </v>
      </c>
      <c r="P36" s="1015" t="str">
        <f>IF(VLOOKUP($C$3&amp;"-"&amp;$D36,Import!$C:$H,3,FALSE)=0,"",VLOOKUP($C$3&amp;"-"&amp;$D36,Import!$C:$H,3,FALSE))</f>
        <v/>
      </c>
      <c r="Q36" s="1015" t="str">
        <f>IF(VLOOKUP($C$3&amp;"-"&amp;$D36,Import!$C:$H,4,FALSE)=0,"",VLOOKUP($C$3&amp;"-"&amp;$D36,Import!$C:$H,4,FALSE))</f>
        <v/>
      </c>
      <c r="R36" s="1015" t="str">
        <f>IF(VLOOKUP($C$3&amp;"-"&amp;$D36,Import!$C:$H,5,FALSE)=0,"",VLOOKUP($C$3&amp;"-"&amp;$D36,Import!$C:$H,5,FALSE))</f>
        <v/>
      </c>
      <c r="S36" s="1016" t="str">
        <f>IF(VLOOKUP($C$3&amp;"-"&amp;$D36,Import!$C:$H,6,FALSE)=0,"",VLOOKUP($C$3&amp;"-"&amp;$D36,Import!$C:$H,6,FALSE))</f>
        <v/>
      </c>
      <c r="T36" s="299"/>
      <c r="U36" s="309"/>
    </row>
    <row r="37" spans="1:21" s="300" customFormat="1" ht="68.400000000000006" customHeight="1" x14ac:dyDescent="0.25">
      <c r="A37" s="309"/>
      <c r="B37" s="1213"/>
      <c r="C37" s="1202"/>
      <c r="D37" s="298" t="s">
        <v>21</v>
      </c>
      <c r="E37" s="427" t="str">
        <f>IF(VLOOKUP(CONCATENATE($C$3,"-",$D37),Languages!$A:$D,1,TRUE)=CONCATENATE($C$3,"-",$D37),VLOOKUP(CONCATENATE($C$3,"-",$D37),Languages!$A:$D,Summary!$C$7,TRUE),NA())</f>
        <v>Johtoryhmän nimetyllä jäsenellä on vastuu palveluiden tuottamiseen tarvittavien tietoverkkojen ja -järjestelmien turvallisuuden tasosta. Henkilö ohjaa johtoryhmän säännöllistä keskustelua aiheesta.</v>
      </c>
      <c r="F37" s="291">
        <f t="shared" si="1"/>
        <v>0</v>
      </c>
      <c r="G37" s="311"/>
      <c r="H37" s="480"/>
      <c r="I37" s="480"/>
      <c r="J37" s="480"/>
      <c r="K37" s="488"/>
      <c r="L37" s="299"/>
      <c r="M37" s="309"/>
      <c r="N37" s="1213"/>
      <c r="O37" s="1057" t="str">
        <f>VLOOKUP(VLOOKUP($C$3&amp;"-"&amp;$D37,Import!$C:$D,2,FALSE),Parameters!$C$18:$F$22,Summary!$C$7,FALSE)</f>
        <v xml:space="preserve">0 - Vastaus puuttuu </v>
      </c>
      <c r="P37" s="1015" t="str">
        <f>IF(VLOOKUP($C$3&amp;"-"&amp;$D37,Import!$C:$H,3,FALSE)=0,"",VLOOKUP($C$3&amp;"-"&amp;$D37,Import!$C:$H,3,FALSE))</f>
        <v/>
      </c>
      <c r="Q37" s="1015" t="str">
        <f>IF(VLOOKUP($C$3&amp;"-"&amp;$D37,Import!$C:$H,4,FALSE)=0,"",VLOOKUP($C$3&amp;"-"&amp;$D37,Import!$C:$H,4,FALSE))</f>
        <v/>
      </c>
      <c r="R37" s="1015" t="str">
        <f>IF(VLOOKUP($C$3&amp;"-"&amp;$D37,Import!$C:$H,5,FALSE)=0,"",VLOOKUP($C$3&amp;"-"&amp;$D37,Import!$C:$H,5,FALSE))</f>
        <v/>
      </c>
      <c r="S37" s="1016" t="str">
        <f>IF(VLOOKUP($C$3&amp;"-"&amp;$D37,Import!$C:$H,6,FALSE)=0,"",VLOOKUP($C$3&amp;"-"&amp;$D37,Import!$C:$H,6,FALSE))</f>
        <v/>
      </c>
      <c r="T37" s="299"/>
      <c r="U37" s="309"/>
    </row>
    <row r="38" spans="1:21" s="300" customFormat="1" ht="45" customHeight="1" x14ac:dyDescent="0.25">
      <c r="A38" s="309"/>
      <c r="B38" s="1213"/>
      <c r="C38" s="1202"/>
      <c r="D38" s="298" t="s">
        <v>109</v>
      </c>
      <c r="E38" s="427" t="str">
        <f>IF(VLOOKUP(CONCATENATE($C$3,"-",$D38),Languages!$A:$D,1,TRUE)=CONCATENATE($C$3,"-",$D38),VLOOKUP(CONCATENATE($C$3,"-",$D38),Languages!$A:$D,Summary!$C$7,TRUE),NA())</f>
        <v>Johtoryhmä asettaa suunnan ja tahtotilan, joista johdetaan tehokkaita toimintatapoja tietoverkkojen ja -järjestelmien turvallisuuden valvontaan ja ohjaukseen.</v>
      </c>
      <c r="F38" s="291">
        <f t="shared" si="1"/>
        <v>0</v>
      </c>
      <c r="G38" s="311"/>
      <c r="H38" s="480"/>
      <c r="I38" s="480"/>
      <c r="J38" s="480"/>
      <c r="K38" s="488"/>
      <c r="L38" s="299"/>
      <c r="M38" s="309"/>
      <c r="N38" s="1213"/>
      <c r="O38" s="1057" t="str">
        <f>VLOOKUP(VLOOKUP($C$3&amp;"-"&amp;$D38,Import!$C:$D,2,FALSE),Parameters!$C$18:$F$22,Summary!$C$7,FALSE)</f>
        <v xml:space="preserve">0 - Vastaus puuttuu </v>
      </c>
      <c r="P38" s="1015" t="str">
        <f>IF(VLOOKUP($C$3&amp;"-"&amp;$D38,Import!$C:$H,3,FALSE)=0,"",VLOOKUP($C$3&amp;"-"&amp;$D38,Import!$C:$H,3,FALSE))</f>
        <v/>
      </c>
      <c r="Q38" s="1015" t="str">
        <f>IF(VLOOKUP($C$3&amp;"-"&amp;$D38,Import!$C:$H,4,FALSE)=0,"",VLOOKUP($C$3&amp;"-"&amp;$D38,Import!$C:$H,4,FALSE))</f>
        <v/>
      </c>
      <c r="R38" s="1015" t="str">
        <f>IF(VLOOKUP($C$3&amp;"-"&amp;$D38,Import!$C:$H,5,FALSE)=0,"",VLOOKUP($C$3&amp;"-"&amp;$D38,Import!$C:$H,5,FALSE))</f>
        <v/>
      </c>
      <c r="S38" s="1016" t="str">
        <f>IF(VLOOKUP($C$3&amp;"-"&amp;$D38,Import!$C:$H,6,FALSE)=0,"",VLOOKUP($C$3&amp;"-"&amp;$D38,Import!$C:$H,6,FALSE))</f>
        <v/>
      </c>
      <c r="T38" s="299"/>
      <c r="U38" s="309"/>
    </row>
    <row r="39" spans="1:21" s="300" customFormat="1" ht="34.950000000000003" customHeight="1" x14ac:dyDescent="0.25">
      <c r="A39" s="309"/>
      <c r="B39" s="1213"/>
      <c r="C39" s="1202"/>
      <c r="D39" s="298" t="s">
        <v>173</v>
      </c>
      <c r="E39" s="427" t="str">
        <f>IF(VLOOKUP(CONCATENATE($C$3,"-",$D39),Languages!$A:$D,1,TRUE)=CONCATENATE($C$3,"-",$D39),VLOOKUP(CONCATENATE($C$3,"-",$D39),Languages!$A:$D,Summary!$C$7,TRUE),NA())</f>
        <v>Organisaation ylimmällä johdolla on näkyvyys tärkeimpiin riskipäätöksiin läpi koko organisaation.</v>
      </c>
      <c r="F39" s="291">
        <f t="shared" si="1"/>
        <v>0</v>
      </c>
      <c r="G39" s="311"/>
      <c r="H39" s="480"/>
      <c r="I39" s="480"/>
      <c r="J39" s="480"/>
      <c r="K39" s="488"/>
      <c r="L39" s="299"/>
      <c r="M39" s="309"/>
      <c r="N39" s="1213"/>
      <c r="O39" s="1057" t="str">
        <f>VLOOKUP(VLOOKUP($C$3&amp;"-"&amp;$D39,Import!$C:$D,2,FALSE),Parameters!$C$18:$F$22,Summary!$C$7,FALSE)</f>
        <v xml:space="preserve">0 - Vastaus puuttuu </v>
      </c>
      <c r="P39" s="1015" t="str">
        <f>IF(VLOOKUP($C$3&amp;"-"&amp;$D39,Import!$C:$H,3,FALSE)=0,"",VLOOKUP($C$3&amp;"-"&amp;$D39,Import!$C:$H,3,FALSE))</f>
        <v/>
      </c>
      <c r="Q39" s="1015" t="str">
        <f>IF(VLOOKUP($C$3&amp;"-"&amp;$D39,Import!$C:$H,4,FALSE)=0,"",VLOOKUP($C$3&amp;"-"&amp;$D39,Import!$C:$H,4,FALSE))</f>
        <v/>
      </c>
      <c r="R39" s="1015" t="str">
        <f>IF(VLOOKUP($C$3&amp;"-"&amp;$D39,Import!$C:$H,5,FALSE)=0,"",VLOOKUP($C$3&amp;"-"&amp;$D39,Import!$C:$H,5,FALSE))</f>
        <v/>
      </c>
      <c r="S39" s="1016" t="str">
        <f>IF(VLOOKUP($C$3&amp;"-"&amp;$D39,Import!$C:$H,6,FALSE)=0,"",VLOOKUP($C$3&amp;"-"&amp;$D39,Import!$C:$H,6,FALSE))</f>
        <v/>
      </c>
      <c r="T39" s="299"/>
      <c r="U39" s="309"/>
    </row>
    <row r="40" spans="1:21" s="300" customFormat="1" ht="85.2" customHeight="1" x14ac:dyDescent="0.25">
      <c r="A40" s="309"/>
      <c r="B40" s="1213"/>
      <c r="C40" s="1202"/>
      <c r="D40" s="298" t="s">
        <v>175</v>
      </c>
      <c r="E40" s="427" t="str">
        <f>IF(VLOOKUP(CONCATENATE($C$3,"-",$D40),Languages!$A:$D,1,TRUE)=CONCATENATE($C$3,"-",$D40),VLOOKUP(CONCATENATE($C$3,"-",$D40),Languages!$A:$D,Summary!$C$7,TRUE),NA())</f>
        <v>Organisaation riskienhallinnan päätöksentekijöillä on vastuu tehdä tehokkaita, oikea-aikaisia ja organisaation johdon määrittämän riskinottohalukkuuden mukaisia päätöksiä palveluiden tuottamiseen tarvittaviin tietoverkkoihin ja -järjestelmiin liittyen. Henkilöt tunnistavat ja tiedostavat päätöksentekovastuunsa.</v>
      </c>
      <c r="F40" s="291">
        <f t="shared" si="1"/>
        <v>0</v>
      </c>
      <c r="G40" s="311"/>
      <c r="H40" s="480"/>
      <c r="I40" s="480"/>
      <c r="J40" s="480"/>
      <c r="K40" s="488"/>
      <c r="L40" s="299"/>
      <c r="M40" s="309"/>
      <c r="N40" s="1213"/>
      <c r="O40" s="1057" t="str">
        <f>VLOOKUP(VLOOKUP($C$3&amp;"-"&amp;$D40,Import!$C:$D,2,FALSE),Parameters!$C$18:$F$22,Summary!$C$7,FALSE)</f>
        <v xml:space="preserve">0 - Vastaus puuttuu </v>
      </c>
      <c r="P40" s="1015" t="str">
        <f>IF(VLOOKUP($C$3&amp;"-"&amp;$D40,Import!$C:$H,3,FALSE)=0,"",VLOOKUP($C$3&amp;"-"&amp;$D40,Import!$C:$H,3,FALSE))</f>
        <v/>
      </c>
      <c r="Q40" s="1015" t="str">
        <f>IF(VLOOKUP($C$3&amp;"-"&amp;$D40,Import!$C:$H,4,FALSE)=0,"",VLOOKUP($C$3&amp;"-"&amp;$D40,Import!$C:$H,4,FALSE))</f>
        <v/>
      </c>
      <c r="R40" s="1015" t="str">
        <f>IF(VLOOKUP($C$3&amp;"-"&amp;$D40,Import!$C:$H,5,FALSE)=0,"",VLOOKUP($C$3&amp;"-"&amp;$D40,Import!$C:$H,5,FALSE))</f>
        <v/>
      </c>
      <c r="S40" s="1016" t="str">
        <f>IF(VLOOKUP($C$3&amp;"-"&amp;$D40,Import!$C:$H,6,FALSE)=0,"",VLOOKUP($C$3&amp;"-"&amp;$D40,Import!$C:$H,6,FALSE))</f>
        <v/>
      </c>
      <c r="T40" s="299"/>
      <c r="U40" s="309"/>
    </row>
    <row r="41" spans="1:21" s="300" customFormat="1" ht="60.6" customHeight="1" x14ac:dyDescent="0.25">
      <c r="A41" s="309"/>
      <c r="B41" s="1213"/>
      <c r="C41" s="1203"/>
      <c r="D41" s="407" t="s">
        <v>206</v>
      </c>
      <c r="E41" s="432" t="str">
        <f>IF(VLOOKUP(CONCATENATE($C$3,"-",$D41),Languages!$A:$D,1,TRUE)=CONCATENATE($C$3,"-",$D41),VLOOKUP(CONCATENATE($C$3,"-",$D41),Languages!$A:$D,Summary!$C$7,TRUE),NA())</f>
        <v>Riskienhallinnan päätöksentekoa voidaan tarvittaessa delegoida tai korottaa ("escalate") läpi koko organisaation sellaisille henkilöille, joilla on sopivat tiedot, taidot ja valtuudet päätösten tekemiseen.</v>
      </c>
      <c r="F41" s="403">
        <f t="shared" si="1"/>
        <v>0</v>
      </c>
      <c r="G41" s="489"/>
      <c r="H41" s="481"/>
      <c r="I41" s="481"/>
      <c r="J41" s="481"/>
      <c r="K41" s="490"/>
      <c r="L41" s="299"/>
      <c r="M41" s="309"/>
      <c r="N41" s="1213"/>
      <c r="O41" s="1058" t="str">
        <f>VLOOKUP(VLOOKUP($C$3&amp;"-"&amp;$D41,Import!$C:$D,2,FALSE),Parameters!$C$18:$F$22,Summary!$C$7,FALSE)</f>
        <v xml:space="preserve">0 - Vastaus puuttuu </v>
      </c>
      <c r="P41" s="1034" t="str">
        <f>IF(VLOOKUP($C$3&amp;"-"&amp;$D41,Import!$C:$H,3,FALSE)=0,"",VLOOKUP($C$3&amp;"-"&amp;$D41,Import!$C:$H,3,FALSE))</f>
        <v/>
      </c>
      <c r="Q41" s="1034" t="str">
        <f>IF(VLOOKUP($C$3&amp;"-"&amp;$D41,Import!$C:$H,4,FALSE)=0,"",VLOOKUP($C$3&amp;"-"&amp;$D41,Import!$C:$H,4,FALSE))</f>
        <v/>
      </c>
      <c r="R41" s="1034" t="str">
        <f>IF(VLOOKUP($C$3&amp;"-"&amp;$D41,Import!$C:$H,5,FALSE)=0,"",VLOOKUP($C$3&amp;"-"&amp;$D41,Import!$C:$H,5,FALSE))</f>
        <v/>
      </c>
      <c r="S41" s="1035" t="str">
        <f>IF(VLOOKUP($C$3&amp;"-"&amp;$D41,Import!$C:$H,6,FALSE)=0,"",VLOOKUP($C$3&amp;"-"&amp;$D41,Import!$C:$H,6,FALSE))</f>
        <v/>
      </c>
      <c r="T41" s="299"/>
      <c r="U41" s="309"/>
    </row>
    <row r="42" spans="1:21" s="300" customFormat="1" ht="51" customHeight="1" x14ac:dyDescent="0.25">
      <c r="A42" s="309"/>
      <c r="B42" s="1213"/>
      <c r="C42" s="1214">
        <v>3</v>
      </c>
      <c r="D42" s="406" t="s">
        <v>208</v>
      </c>
      <c r="E42" s="431" t="str">
        <f>IF(VLOOKUP(CONCATENATE($C$3,"-",$D42),Languages!$A:$D,1,TRUE)=CONCATENATE($C$3,"-",$D42),VLOOKUP(CONCATENATE($C$3,"-",$D42),Languages!$A:$D,Summary!$C$7,TRUE),NA())</f>
        <v>Tehdyt riskienhallintapäätökset käydään läpi aika ajoin, jotta varmistutaan siitä, että ne ovat pysyneet relevantteina ja pätevinä.</v>
      </c>
      <c r="F42" s="396">
        <f>IFERROR(INT(LEFT($G42,1)),0)</f>
        <v>0</v>
      </c>
      <c r="G42" s="485"/>
      <c r="H42" s="482"/>
      <c r="I42" s="482"/>
      <c r="J42" s="482"/>
      <c r="K42" s="491"/>
      <c r="L42" s="299"/>
      <c r="M42" s="309"/>
      <c r="N42" s="1213"/>
      <c r="O42" s="1056" t="str">
        <f>VLOOKUP(VLOOKUP($C$3&amp;"-"&amp;$D42,Import!$C:$D,2,FALSE),Parameters!$C$18:$F$22,Summary!$C$7,FALSE)</f>
        <v xml:space="preserve">0 - Vastaus puuttuu </v>
      </c>
      <c r="P42" s="1022" t="str">
        <f>IF(VLOOKUP($C$3&amp;"-"&amp;$D42,Import!$C:$H,3,FALSE)=0,"",VLOOKUP($C$3&amp;"-"&amp;$D42,Import!$C:$H,3,FALSE))</f>
        <v/>
      </c>
      <c r="Q42" s="1022" t="str">
        <f>IF(VLOOKUP($C$3&amp;"-"&amp;$D42,Import!$C:$H,4,FALSE)=0,"",VLOOKUP($C$3&amp;"-"&amp;$D42,Import!$C:$H,4,FALSE))</f>
        <v/>
      </c>
      <c r="R42" s="1022" t="str">
        <f>IF(VLOOKUP($C$3&amp;"-"&amp;$D42,Import!$C:$H,5,FALSE)=0,"",VLOOKUP($C$3&amp;"-"&amp;$D42,Import!$C:$H,5,FALSE))</f>
        <v/>
      </c>
      <c r="S42" s="1023" t="str">
        <f>IF(VLOOKUP($C$3&amp;"-"&amp;$D42,Import!$C:$H,6,FALSE)=0,"",VLOOKUP($C$3&amp;"-"&amp;$D42,Import!$C:$H,6,FALSE))</f>
        <v/>
      </c>
      <c r="T42" s="299"/>
      <c r="U42" s="309"/>
    </row>
    <row r="43" spans="1:21" s="300" customFormat="1" ht="45" customHeight="1" x14ac:dyDescent="0.25">
      <c r="A43" s="309"/>
      <c r="B43" s="1213"/>
      <c r="C43" s="1215"/>
      <c r="D43" s="407" t="s">
        <v>210</v>
      </c>
      <c r="E43" s="432" t="str">
        <f>IF(VLOOKUP(CONCATENATE($C$3,"-",$D43),Languages!$A:$D,1,TRUE)=CONCATENATE($C$3,"-",$D43),VLOOKUP(CONCATENATE($C$3,"-",$D43),Languages!$A:$D,Summary!$C$7,TRUE),NA())</f>
        <v>Riskienhallintaprosessissa ja -päätöksenteossa otetaan huomioon resurssit (data, prosessit, järjestelmät, laitteet ja toimitusketju), kriittinen ajanjakso ja seurannaisvaikutukset [kts. CRITICAL-1b-h].</v>
      </c>
      <c r="F43" s="403">
        <f>IFERROR(INT(LEFT($G43,1)),0)</f>
        <v>0</v>
      </c>
      <c r="G43" s="489"/>
      <c r="H43" s="481"/>
      <c r="I43" s="481"/>
      <c r="J43" s="481"/>
      <c r="K43" s="490"/>
      <c r="L43" s="299"/>
      <c r="M43" s="309"/>
      <c r="N43" s="1213"/>
      <c r="O43" s="1058" t="str">
        <f>VLOOKUP(VLOOKUP($C$3&amp;"-"&amp;$D43,Import!$C:$D,2,FALSE),Parameters!$C$18:$F$22,Summary!$C$7,FALSE)</f>
        <v xml:space="preserve">0 - Vastaus puuttuu </v>
      </c>
      <c r="P43" s="1034" t="str">
        <f>IF(VLOOKUP($C$3&amp;"-"&amp;$D43,Import!$C:$H,3,FALSE)=0,"",VLOOKUP($C$3&amp;"-"&amp;$D43,Import!$C:$H,3,FALSE))</f>
        <v/>
      </c>
      <c r="Q43" s="1034" t="str">
        <f>IF(VLOOKUP($C$3&amp;"-"&amp;$D43,Import!$C:$H,4,FALSE)=0,"",VLOOKUP($C$3&amp;"-"&amp;$D43,Import!$C:$H,4,FALSE))</f>
        <v/>
      </c>
      <c r="R43" s="1034" t="str">
        <f>IF(VLOOKUP($C$3&amp;"-"&amp;$D43,Import!$C:$H,5,FALSE)=0,"",VLOOKUP($C$3&amp;"-"&amp;$D43,Import!$C:$H,5,FALSE))</f>
        <v/>
      </c>
      <c r="S43" s="1035" t="str">
        <f>IF(VLOOKUP($C$3&amp;"-"&amp;$D43,Import!$C:$H,6,FALSE)=0,"",VLOOKUP($C$3&amp;"-"&amp;$D43,Import!$C:$H,6,FALSE))</f>
        <v/>
      </c>
      <c r="T43" s="299"/>
      <c r="U43" s="309"/>
    </row>
    <row r="44" spans="1:21" ht="12.6" x14ac:dyDescent="0.25">
      <c r="A44" s="733"/>
      <c r="G44" s="1060"/>
      <c r="H44" s="1061"/>
      <c r="I44" s="1061"/>
      <c r="J44" s="1061"/>
      <c r="K44" s="1061"/>
      <c r="M44" s="737"/>
      <c r="T44" s="295"/>
      <c r="U44" s="309"/>
    </row>
    <row r="45" spans="1:21" ht="16.2" x14ac:dyDescent="0.3">
      <c r="A45" s="733"/>
      <c r="C45" s="274">
        <v>3</v>
      </c>
      <c r="D45" s="274" t="str">
        <f>IF(VLOOKUP(CONCATENATE($C$3,"-",C45),Languages!$A:$D,1,TRUE)=CONCATENATE($C$3,"-",C45),VLOOKUP(CONCATENATE($C$3,"-",C45),Languages!$A:$D,Summary!$C$7,TRUE),NA())</f>
        <v>Kriittisten palveluiden kyberhäiriöiden vaikutusten minimointi</v>
      </c>
      <c r="E45" s="173"/>
      <c r="G45" s="1060"/>
      <c r="H45" s="1061"/>
      <c r="I45" s="1061"/>
      <c r="J45" s="1061"/>
      <c r="K45" s="1061"/>
      <c r="M45" s="737"/>
      <c r="T45" s="295"/>
      <c r="U45" s="309"/>
    </row>
    <row r="46" spans="1:21" s="289" customFormat="1" ht="19.95" customHeight="1" x14ac:dyDescent="0.2">
      <c r="A46" s="308"/>
      <c r="B46" s="283"/>
      <c r="C46" s="284" t="str">
        <f>IF(VLOOKUP("GEN-LEVEL",Languages!$A:$D,1,TRUE)="GEN-LEVEL",VLOOKUP("GEN-LEVEL",Languages!$A:$D,Summary!$C$7,TRUE),NA())</f>
        <v>Taso</v>
      </c>
      <c r="D46" s="284"/>
      <c r="E46" s="285" t="str">
        <f>IF(VLOOKUP("GEN-PRACTICE",Languages!$A:$D,1,TRUE)="GEN-PRACTICE",VLOOKUP("GEN-PRACTICE",Languages!$A:$D,Summary!$C$7,TRUE),NA())</f>
        <v>Käytäntö</v>
      </c>
      <c r="F46" s="286"/>
      <c r="G46" s="1003" t="str">
        <f>IF(VLOOKUP("GEN-ANSWER",Languages!$A:$D,1,TRUE)="GEN-ANSWER",VLOOKUP("GEN-ANSWER",Languages!$A:$D,Summary!$C$7,TRUE),NA())</f>
        <v>Vastaus</v>
      </c>
      <c r="H46" s="1004" t="str">
        <f>IF(VLOOKUP("KM112",Languages!$A:$D,1,TRUE)="KM112",VLOOKUP("KM112",Languages!$A:$D,Summary!$C$7,TRUE),NA())</f>
        <v>Kommentit</v>
      </c>
      <c r="I46" s="1004" t="str">
        <f>IF(VLOOKUP("KM113",Languages!$A:$D,1,TRUE)="KM113",VLOOKUP("KM113",Languages!$A:$D,Summary!$C$7,TRUE),NA())</f>
        <v>Sisäinen viittaus</v>
      </c>
      <c r="J46" s="1004" t="str">
        <f>IF(VLOOKUP("KM114",Languages!$A:$D,1,TRUE)="KM114",VLOOKUP("KM114",Languages!$A:$D,Summary!$C$7,TRUE),NA())</f>
        <v>Ulkoinen viittaus</v>
      </c>
      <c r="K46" s="1004" t="str">
        <f>IF(VLOOKUP("KM115",Languages!$A:$D,1,TRUE)="KM115",VLOOKUP("KM115",Languages!$A:$D,Summary!$C$7,TRUE),NA())</f>
        <v>Kehityskohde</v>
      </c>
      <c r="L46" s="287"/>
      <c r="M46" s="288"/>
      <c r="N46" s="283"/>
      <c r="O46" s="503" t="str">
        <f>IF(VLOOKUP("GEN-ANSWER",Languages!$A:$D,1,TRUE)="GEN-ANSWER",VLOOKUP("GEN-ANSWER",Languages!$A:$D,Summary!$C$7,TRUE),NA())</f>
        <v>Vastaus</v>
      </c>
      <c r="P46" s="286" t="str">
        <f>IF(VLOOKUP("KM112",Languages!$A:$D,1,TRUE)="KM112",VLOOKUP("KM112",Languages!$A:$D,Summary!$C$7,TRUE),NA())</f>
        <v>Kommentit</v>
      </c>
      <c r="Q46" s="286" t="str">
        <f>IF(VLOOKUP("KM113",Languages!$A:$D,1,TRUE)="KM113",VLOOKUP("KM113",Languages!$A:$D,Summary!$C$7,TRUE),NA())</f>
        <v>Sisäinen viittaus</v>
      </c>
      <c r="R46" s="286" t="str">
        <f>IF(VLOOKUP("KM114",Languages!$A:$D,1,TRUE)="KM114",VLOOKUP("KM114",Languages!$A:$D,Summary!$C$7,TRUE),NA())</f>
        <v>Ulkoinen viittaus</v>
      </c>
      <c r="S46" s="286" t="str">
        <f>IF(VLOOKUP("KM115",Languages!$A:$D,1,TRUE)="KM115",VLOOKUP("KM115",Languages!$A:$D,Summary!$C$7,TRUE),NA())</f>
        <v>Kehityskohde</v>
      </c>
      <c r="T46" s="287"/>
      <c r="U46" s="288"/>
    </row>
    <row r="47" spans="1:21" s="300" customFormat="1" ht="45" customHeight="1" x14ac:dyDescent="0.25">
      <c r="A47" s="309"/>
      <c r="B47" s="1213"/>
      <c r="C47" s="1205">
        <v>1</v>
      </c>
      <c r="D47" s="406" t="s">
        <v>22</v>
      </c>
      <c r="E47" s="431" t="str">
        <f>IF(VLOOKUP(CONCATENATE($C$3,"-",$D47),Languages!$A:$D,1,TRUE)=CONCATENATE($C$3,"-",$D47),VLOOKUP(CONCATENATE($C$3,"-",$D47),Languages!$A:$D,Summary!$C$7,TRUE),NA())</f>
        <v>Organisaatiolla on kybertapahtumien ja -häiriöiden hallintasuunnitelma, joka kattaa kaikki (organisaation tuottamat yhteiskunnalle kriittiset) palvelut.</v>
      </c>
      <c r="F47" s="396">
        <f t="shared" ref="F47:F54" si="2">IFERROR(INT(LEFT($G47,1)),0)</f>
        <v>0</v>
      </c>
      <c r="G47" s="485"/>
      <c r="H47" s="486"/>
      <c r="I47" s="486"/>
      <c r="J47" s="486"/>
      <c r="K47" s="487"/>
      <c r="L47" s="299"/>
      <c r="M47" s="309"/>
      <c r="N47" s="1213"/>
      <c r="O47" s="1056" t="str">
        <f>VLOOKUP(VLOOKUP($C$3&amp;"-"&amp;$D47,Import!$C:$D,2,FALSE),Parameters!$C$18:$F$22,Summary!$C$7,FALSE)</f>
        <v xml:space="preserve">0 - Vastaus puuttuu </v>
      </c>
      <c r="P47" s="1032" t="str">
        <f>IF(VLOOKUP($C$3&amp;"-"&amp;$D47,Import!$C:$H,3,FALSE)=0,"",VLOOKUP($C$3&amp;"-"&amp;$D47,Import!$C:$H,3,FALSE))</f>
        <v/>
      </c>
      <c r="Q47" s="1032" t="str">
        <f>IF(VLOOKUP($C$3&amp;"-"&amp;$D47,Import!$C:$H,4,FALSE)=0,"",VLOOKUP($C$3&amp;"-"&amp;$D47,Import!$C:$H,4,FALSE))</f>
        <v/>
      </c>
      <c r="R47" s="1032" t="str">
        <f>IF(VLOOKUP($C$3&amp;"-"&amp;$D47,Import!$C:$H,5,FALSE)=0,"",VLOOKUP($C$3&amp;"-"&amp;$D47,Import!$C:$H,5,FALSE))</f>
        <v/>
      </c>
      <c r="S47" s="1033" t="str">
        <f>IF(VLOOKUP($C$3&amp;"-"&amp;$D47,Import!$C:$H,6,FALSE)=0,"",VLOOKUP($C$3&amp;"-"&amp;$D47,Import!$C:$H,6,FALSE))</f>
        <v/>
      </c>
      <c r="T47" s="299"/>
      <c r="U47" s="309"/>
    </row>
    <row r="48" spans="1:21" s="300" customFormat="1" ht="51" customHeight="1" x14ac:dyDescent="0.25">
      <c r="A48" s="309"/>
      <c r="B48" s="1213"/>
      <c r="C48" s="1206"/>
      <c r="D48" s="298" t="s">
        <v>23</v>
      </c>
      <c r="E48" s="427" t="str">
        <f>IF(VLOOKUP(CONCATENATE($C$3,"-",$D48),Languages!$A:$D,1,TRUE)=CONCATENATE($C$3,"-",$D48),VLOOKUP(CONCATENATE($C$3,"-",$D48),Languages!$A:$D,Summary!$C$7,TRUE),NA())</f>
        <v>Hallintasuunnitelma rajoittuu tunnettuihin hyökkäyksiin, mutta kattaa perusteellisesti näiden hyökkäysten todennäköiset vaikutukset.</v>
      </c>
      <c r="F48" s="291">
        <f t="shared" si="2"/>
        <v>0</v>
      </c>
      <c r="G48" s="311"/>
      <c r="H48" s="480"/>
      <c r="I48" s="480"/>
      <c r="J48" s="480"/>
      <c r="K48" s="488"/>
      <c r="L48" s="299"/>
      <c r="M48" s="309"/>
      <c r="N48" s="1213"/>
      <c r="O48" s="1057" t="str">
        <f>VLOOKUP(VLOOKUP($C$3&amp;"-"&amp;$D48,Import!$C:$D,2,FALSE),Parameters!$C$18:$F$22,Summary!$C$7,FALSE)</f>
        <v xml:space="preserve">0 - Vastaus puuttuu </v>
      </c>
      <c r="P48" s="1015" t="str">
        <f>IF(VLOOKUP($C$3&amp;"-"&amp;$D48,Import!$C:$H,3,FALSE)=0,"",VLOOKUP($C$3&amp;"-"&amp;$D48,Import!$C:$H,3,FALSE))</f>
        <v/>
      </c>
      <c r="Q48" s="1015" t="str">
        <f>IF(VLOOKUP($C$3&amp;"-"&amp;$D48,Import!$C:$H,4,FALSE)=0,"",VLOOKUP($C$3&amp;"-"&amp;$D48,Import!$C:$H,4,FALSE))</f>
        <v/>
      </c>
      <c r="R48" s="1015" t="str">
        <f>IF(VLOOKUP($C$3&amp;"-"&amp;$D48,Import!$C:$H,5,FALSE)=0,"",VLOOKUP($C$3&amp;"-"&amp;$D48,Import!$C:$H,5,FALSE))</f>
        <v/>
      </c>
      <c r="S48" s="1016" t="str">
        <f>IF(VLOOKUP($C$3&amp;"-"&amp;$D48,Import!$C:$H,6,FALSE)=0,"",VLOOKUP($C$3&amp;"-"&amp;$D48,Import!$C:$H,6,FALSE))</f>
        <v/>
      </c>
      <c r="T48" s="299"/>
      <c r="U48" s="309"/>
    </row>
    <row r="49" spans="1:21" s="300" customFormat="1" ht="34.950000000000003" customHeight="1" x14ac:dyDescent="0.25">
      <c r="A49" s="309"/>
      <c r="B49" s="1213"/>
      <c r="C49" s="1206"/>
      <c r="D49" s="298" t="s">
        <v>24</v>
      </c>
      <c r="E49" s="427" t="str">
        <f>IF(VLOOKUP(CONCATENATE($C$3,"-",$D49),Languages!$A:$D,1,TRUE)=CONCATENATE($C$3,"-",$D49),VLOOKUP(CONCATENATE($C$3,"-",$D49),Languages!$A:$D,Summary!$C$7,TRUE),NA())</f>
        <v>Kybertapahtumien ja -häiriöiden hallintaan osallistuva henkilöstö on sisäistänyt ja ymmärtää hallintasuunnitelman hyvin.</v>
      </c>
      <c r="F49" s="291">
        <f t="shared" si="2"/>
        <v>0</v>
      </c>
      <c r="G49" s="311"/>
      <c r="H49" s="480"/>
      <c r="I49" s="480"/>
      <c r="J49" s="480"/>
      <c r="K49" s="488"/>
      <c r="L49" s="299"/>
      <c r="M49" s="309"/>
      <c r="N49" s="1213"/>
      <c r="O49" s="1057" t="str">
        <f>VLOOKUP(VLOOKUP($C$3&amp;"-"&amp;$D49,Import!$C:$D,2,FALSE),Parameters!$C$18:$F$22,Summary!$C$7,FALSE)</f>
        <v xml:space="preserve">0 - Vastaus puuttuu </v>
      </c>
      <c r="P49" s="1015" t="str">
        <f>IF(VLOOKUP($C$3&amp;"-"&amp;$D49,Import!$C:$H,3,FALSE)=0,"",VLOOKUP($C$3&amp;"-"&amp;$D49,Import!$C:$H,3,FALSE))</f>
        <v/>
      </c>
      <c r="Q49" s="1015" t="str">
        <f>IF(VLOOKUP($C$3&amp;"-"&amp;$D49,Import!$C:$H,4,FALSE)=0,"",VLOOKUP($C$3&amp;"-"&amp;$D49,Import!$C:$H,4,FALSE))</f>
        <v/>
      </c>
      <c r="R49" s="1015" t="str">
        <f>IF(VLOOKUP($C$3&amp;"-"&amp;$D49,Import!$C:$H,5,FALSE)=0,"",VLOOKUP($C$3&amp;"-"&amp;$D49,Import!$C:$H,5,FALSE))</f>
        <v/>
      </c>
      <c r="S49" s="1016" t="str">
        <f>IF(VLOOKUP($C$3&amp;"-"&amp;$D49,Import!$C:$H,6,FALSE)=0,"",VLOOKUP($C$3&amp;"-"&amp;$D49,Import!$C:$H,6,FALSE))</f>
        <v/>
      </c>
      <c r="T49" s="299"/>
      <c r="U49" s="309"/>
    </row>
    <row r="50" spans="1:21" s="300" customFormat="1" ht="34.950000000000003" customHeight="1" x14ac:dyDescent="0.25">
      <c r="A50" s="309"/>
      <c r="B50" s="1213"/>
      <c r="C50" s="1207"/>
      <c r="D50" s="407" t="s">
        <v>25</v>
      </c>
      <c r="E50" s="432" t="str">
        <f>IF(VLOOKUP(CONCATENATE($C$3,"-",$D50),Languages!$A:$D,1,TRUE)=CONCATENATE($C$3,"-",$D50),VLOOKUP(CONCATENATE($C$3,"-",$D50),Languages!$A:$D,Summary!$C$7,TRUE),NA())</f>
        <v>Hallintasuunnitelma on dokumentoitu ja se jaetaan kaikille relevanteille sidosryhmille.</v>
      </c>
      <c r="F50" s="403">
        <f t="shared" si="2"/>
        <v>0</v>
      </c>
      <c r="G50" s="489"/>
      <c r="H50" s="481"/>
      <c r="I50" s="481"/>
      <c r="J50" s="481"/>
      <c r="K50" s="490"/>
      <c r="L50" s="299"/>
      <c r="M50" s="309"/>
      <c r="N50" s="1213"/>
      <c r="O50" s="1058" t="str">
        <f>VLOOKUP(VLOOKUP($C$3&amp;"-"&amp;$D50,Import!$C:$D,2,FALSE),Parameters!$C$18:$F$22,Summary!$C$7,FALSE)</f>
        <v xml:space="preserve">0 - Vastaus puuttuu </v>
      </c>
      <c r="P50" s="1034" t="str">
        <f>IF(VLOOKUP($C$3&amp;"-"&amp;$D50,Import!$C:$H,3,FALSE)=0,"",VLOOKUP($C$3&amp;"-"&amp;$D50,Import!$C:$H,3,FALSE))</f>
        <v/>
      </c>
      <c r="Q50" s="1034" t="str">
        <f>IF(VLOOKUP($C$3&amp;"-"&amp;$D50,Import!$C:$H,4,FALSE)=0,"",VLOOKUP($C$3&amp;"-"&amp;$D50,Import!$C:$H,4,FALSE))</f>
        <v/>
      </c>
      <c r="R50" s="1034" t="str">
        <f>IF(VLOOKUP($C$3&amp;"-"&amp;$D50,Import!$C:$H,5,FALSE)=0,"",VLOOKUP($C$3&amp;"-"&amp;$D50,Import!$C:$H,5,FALSE))</f>
        <v/>
      </c>
      <c r="S50" s="1035" t="str">
        <f>IF(VLOOKUP($C$3&amp;"-"&amp;$D50,Import!$C:$H,6,FALSE)=0,"",VLOOKUP($C$3&amp;"-"&amp;$D50,Import!$C:$H,6,FALSE))</f>
        <v/>
      </c>
      <c r="T50" s="299"/>
      <c r="U50" s="309"/>
    </row>
    <row r="51" spans="1:21" s="300" customFormat="1" ht="63" customHeight="1" x14ac:dyDescent="0.25">
      <c r="A51" s="309"/>
      <c r="B51" s="1213"/>
      <c r="C51" s="1201">
        <v>2</v>
      </c>
      <c r="D51" s="406" t="s">
        <v>26</v>
      </c>
      <c r="E51" s="431" t="str">
        <f>IF(VLOOKUP(CONCATENATE($C$3,"-",$D51),Languages!$A:$D,1,TRUE)=CONCATENATE($C$3,"-",$D51),VLOOKUP(CONCATENATE($C$3,"-",$D51),Languages!$A:$D,Summary!$C$7,TRUE),NA())</f>
        <v>Hallintasuunnitelma perustuu (yhteiskunnalle kriittisten palveluiden tuottamiseen tarvittavien) tietoverkkojen ja -järjestelmien riskien perusteelliseen tunnistamiseen ja ymmärtämiseen.</v>
      </c>
      <c r="F51" s="396">
        <f t="shared" si="2"/>
        <v>0</v>
      </c>
      <c r="G51" s="485"/>
      <c r="H51" s="486"/>
      <c r="I51" s="486"/>
      <c r="J51" s="486"/>
      <c r="K51" s="487"/>
      <c r="L51" s="299"/>
      <c r="M51" s="309"/>
      <c r="N51" s="1213"/>
      <c r="O51" s="1056" t="str">
        <f>VLOOKUP(VLOOKUP($C$3&amp;"-"&amp;$D51,Import!$C:$D,2,FALSE),Parameters!$C$18:$F$22,Summary!$C$7,FALSE)</f>
        <v xml:space="preserve">0 - Vastaus puuttuu </v>
      </c>
      <c r="P51" s="1032" t="str">
        <f>IF(VLOOKUP($C$3&amp;"-"&amp;$D51,Import!$C:$H,3,FALSE)=0,"",VLOOKUP($C$3&amp;"-"&amp;$D51,Import!$C:$H,3,FALSE))</f>
        <v/>
      </c>
      <c r="Q51" s="1032" t="str">
        <f>IF(VLOOKUP($C$3&amp;"-"&amp;$D51,Import!$C:$H,4,FALSE)=0,"",VLOOKUP($C$3&amp;"-"&amp;$D51,Import!$C:$H,4,FALSE))</f>
        <v/>
      </c>
      <c r="R51" s="1032" t="str">
        <f>IF(VLOOKUP($C$3&amp;"-"&amp;$D51,Import!$C:$H,5,FALSE)=0,"",VLOOKUP($C$3&amp;"-"&amp;$D51,Import!$C:$H,5,FALSE))</f>
        <v/>
      </c>
      <c r="S51" s="1033" t="str">
        <f>IF(VLOOKUP($C$3&amp;"-"&amp;$D51,Import!$C:$H,6,FALSE)=0,"",VLOOKUP($C$3&amp;"-"&amp;$D51,Import!$C:$H,6,FALSE))</f>
        <v/>
      </c>
      <c r="T51" s="299"/>
      <c r="U51" s="309"/>
    </row>
    <row r="52" spans="1:21" s="300" customFormat="1" ht="75.599999999999994" customHeight="1" x14ac:dyDescent="0.25">
      <c r="A52" s="309"/>
      <c r="B52" s="1213"/>
      <c r="C52" s="1203"/>
      <c r="D52" s="407" t="s">
        <v>27</v>
      </c>
      <c r="E52" s="432" t="str">
        <f>IF(VLOOKUP(CONCATENATE($C$3,"-",$D52),Languages!$A:$D,1,TRUE)=CONCATENATE($C$3,"-",$D52),VLOOKUP(CONCATENATE($C$3,"-",$D52),Languages!$A:$D,Summary!$C$7,TRUE),NA())</f>
        <v>Hallintasuunnitelma kattaa perusteellisesti sekä tunnettujen hyökkäysten, että toistaiseksi tuntemattomien hyökkäysten todennäköiset vaikutukset. Suunnitelma kattaa perusteellisesti häiriön koko elinkaaren, roolit ja vastuut sekä raportointivelvoitteet.</v>
      </c>
      <c r="F52" s="403">
        <f t="shared" si="2"/>
        <v>0</v>
      </c>
      <c r="G52" s="489"/>
      <c r="H52" s="481"/>
      <c r="I52" s="481"/>
      <c r="J52" s="481"/>
      <c r="K52" s="490"/>
      <c r="L52" s="299"/>
      <c r="M52" s="309"/>
      <c r="N52" s="1213"/>
      <c r="O52" s="1058" t="str">
        <f>VLOOKUP(VLOOKUP($C$3&amp;"-"&amp;$D52,Import!$C:$D,2,FALSE),Parameters!$C$18:$F$22,Summary!$C$7,FALSE)</f>
        <v xml:space="preserve">0 - Vastaus puuttuu </v>
      </c>
      <c r="P52" s="1034" t="str">
        <f>IF(VLOOKUP($C$3&amp;"-"&amp;$D52,Import!$C:$H,3,FALSE)=0,"",VLOOKUP($C$3&amp;"-"&amp;$D52,Import!$C:$H,3,FALSE))</f>
        <v/>
      </c>
      <c r="Q52" s="1034" t="str">
        <f>IF(VLOOKUP($C$3&amp;"-"&amp;$D52,Import!$C:$H,4,FALSE)=0,"",VLOOKUP($C$3&amp;"-"&amp;$D52,Import!$C:$H,4,FALSE))</f>
        <v/>
      </c>
      <c r="R52" s="1034" t="str">
        <f>IF(VLOOKUP($C$3&amp;"-"&amp;$D52,Import!$C:$H,5,FALSE)=0,"",VLOOKUP($C$3&amp;"-"&amp;$D52,Import!$C:$H,5,FALSE))</f>
        <v/>
      </c>
      <c r="S52" s="1035" t="str">
        <f>IF(VLOOKUP($C$3&amp;"-"&amp;$D52,Import!$C:$H,6,FALSE)=0,"",VLOOKUP($C$3&amp;"-"&amp;$D52,Import!$C:$H,6,FALSE))</f>
        <v/>
      </c>
      <c r="T52" s="299"/>
      <c r="U52" s="309"/>
    </row>
    <row r="53" spans="1:21" s="300" customFormat="1" ht="48.6" customHeight="1" x14ac:dyDescent="0.25">
      <c r="A53" s="309"/>
      <c r="B53" s="1213"/>
      <c r="C53" s="1214">
        <v>3</v>
      </c>
      <c r="D53" s="406" t="s">
        <v>28</v>
      </c>
      <c r="E53" s="431" t="str">
        <f>IF(VLOOKUP(CONCATENATE($C$3,"-",$D53),Languages!$A:$D,1,TRUE)=CONCATENATE($C$3,"-",$D53),VLOOKUP(CONCATENATE($C$3,"-",$D53),Languages!$A:$D,Summary!$C$7,TRUE),NA())</f>
        <v>Hallintasuunnitelma on dokumentoitu ja integroitu osaksi organisaation laajempaa liiketoiminnan ja toimitusketjujen jatkuvuudenhallintaa.</v>
      </c>
      <c r="F53" s="396">
        <f t="shared" si="2"/>
        <v>0</v>
      </c>
      <c r="G53" s="485"/>
      <c r="H53" s="486"/>
      <c r="I53" s="486"/>
      <c r="J53" s="486"/>
      <c r="K53" s="487"/>
      <c r="L53" s="299"/>
      <c r="M53" s="309"/>
      <c r="N53" s="1213"/>
      <c r="O53" s="1056" t="str">
        <f>VLOOKUP(VLOOKUP($C$3&amp;"-"&amp;$D53,Import!$C:$D,2,FALSE),Parameters!$C$18:$F$22,Summary!$C$7,FALSE)</f>
        <v xml:space="preserve">0 - Vastaus puuttuu </v>
      </c>
      <c r="P53" s="1032" t="str">
        <f>IF(VLOOKUP($C$3&amp;"-"&amp;$D53,Import!$C:$H,3,FALSE)=0,"",VLOOKUP($C$3&amp;"-"&amp;$D53,Import!$C:$H,3,FALSE))</f>
        <v/>
      </c>
      <c r="Q53" s="1032" t="str">
        <f>IF(VLOOKUP($C$3&amp;"-"&amp;$D53,Import!$C:$H,4,FALSE)=0,"",VLOOKUP($C$3&amp;"-"&amp;$D53,Import!$C:$H,4,FALSE))</f>
        <v/>
      </c>
      <c r="R53" s="1032" t="str">
        <f>IF(VLOOKUP($C$3&amp;"-"&amp;$D53,Import!$C:$H,5,FALSE)=0,"",VLOOKUP($C$3&amp;"-"&amp;$D53,Import!$C:$H,5,FALSE))</f>
        <v/>
      </c>
      <c r="S53" s="1033" t="str">
        <f>IF(VLOOKUP($C$3&amp;"-"&amp;$D53,Import!$C:$H,6,FALSE)=0,"",VLOOKUP($C$3&amp;"-"&amp;$D53,Import!$C:$H,6,FALSE))</f>
        <v/>
      </c>
      <c r="T53" s="299"/>
      <c r="U53" s="309"/>
    </row>
    <row r="54" spans="1:21" s="300" customFormat="1" ht="45" customHeight="1" x14ac:dyDescent="0.25">
      <c r="A54" s="309"/>
      <c r="B54" s="1213"/>
      <c r="C54" s="1215"/>
      <c r="D54" s="407" t="s">
        <v>244</v>
      </c>
      <c r="E54" s="432" t="str">
        <f>IF(VLOOKUP(CONCATENATE($C$3,"-",$D54),Languages!$A:$D,1,TRUE)=CONCATENATE($C$3,"-",$D54),VLOOKUP(CONCATENATE($C$3,"-",$D54),Languages!$A:$D,Summary!$C$7,TRUE),NA())</f>
        <v>Kaikki yhteiskunnalle kriittisten palveluiden tuottamiseen osallistuvat organisaation liiketoimintayksiköt ovat saaneet ja sisäistäneet hallintasuunnitelman.</v>
      </c>
      <c r="F54" s="403">
        <f t="shared" si="2"/>
        <v>0</v>
      </c>
      <c r="G54" s="489"/>
      <c r="H54" s="481"/>
      <c r="I54" s="481"/>
      <c r="J54" s="481"/>
      <c r="K54" s="490"/>
      <c r="L54" s="299"/>
      <c r="M54" s="309"/>
      <c r="N54" s="1213"/>
      <c r="O54" s="1058" t="str">
        <f>VLOOKUP(VLOOKUP($C$3&amp;"-"&amp;$D54,Import!$C:$D,2,FALSE),Parameters!$C$18:$F$22,Summary!$C$7,FALSE)</f>
        <v xml:space="preserve">0 - Vastaus puuttuu </v>
      </c>
      <c r="P54" s="1034" t="str">
        <f>IF(VLOOKUP($C$3&amp;"-"&amp;$D54,Import!$C:$H,3,FALSE)=0,"",VLOOKUP($C$3&amp;"-"&amp;$D54,Import!$C:$H,3,FALSE))</f>
        <v/>
      </c>
      <c r="Q54" s="1034" t="str">
        <f>IF(VLOOKUP($C$3&amp;"-"&amp;$D54,Import!$C:$H,4,FALSE)=0,"",VLOOKUP($C$3&amp;"-"&amp;$D54,Import!$C:$H,4,FALSE))</f>
        <v/>
      </c>
      <c r="R54" s="1034" t="str">
        <f>IF(VLOOKUP($C$3&amp;"-"&amp;$D54,Import!$C:$H,5,FALSE)=0,"",VLOOKUP($C$3&amp;"-"&amp;$D54,Import!$C:$H,5,FALSE))</f>
        <v/>
      </c>
      <c r="S54" s="1035" t="str">
        <f>IF(VLOOKUP($C$3&amp;"-"&amp;$D54,Import!$C:$H,6,FALSE)=0,"",VLOOKUP($C$3&amp;"-"&amp;$D54,Import!$C:$H,6,FALSE))</f>
        <v/>
      </c>
      <c r="T54" s="299"/>
      <c r="U54" s="309"/>
    </row>
    <row r="55" spans="1:21" x14ac:dyDescent="0.25">
      <c r="A55" s="240"/>
      <c r="B55" s="241"/>
      <c r="C55" s="302"/>
      <c r="D55" s="242"/>
      <c r="E55" s="243"/>
      <c r="F55" s="245"/>
      <c r="G55" s="246"/>
      <c r="H55" s="303"/>
      <c r="I55" s="303"/>
      <c r="J55" s="303"/>
      <c r="K55" s="303"/>
      <c r="L55" s="247"/>
      <c r="M55" s="240"/>
      <c r="N55" s="241"/>
      <c r="O55" s="246"/>
      <c r="P55" s="303"/>
      <c r="Q55" s="303"/>
      <c r="R55" s="303"/>
      <c r="S55" s="303"/>
      <c r="T55" s="247"/>
      <c r="U55" s="240"/>
    </row>
    <row r="56" spans="1:21" x14ac:dyDescent="0.25">
      <c r="A56" s="240"/>
      <c r="B56" s="240"/>
      <c r="C56" s="240"/>
      <c r="D56" s="240"/>
      <c r="E56" s="240"/>
      <c r="F56" s="249"/>
      <c r="G56" s="240"/>
      <c r="H56" s="240"/>
      <c r="I56" s="240"/>
      <c r="J56" s="240"/>
      <c r="K56" s="240"/>
      <c r="L56" s="240"/>
      <c r="M56" s="240"/>
      <c r="N56" s="240"/>
      <c r="O56" s="249"/>
      <c r="P56" s="240"/>
      <c r="Q56" s="240"/>
      <c r="R56" s="240"/>
      <c r="S56" s="240"/>
      <c r="T56" s="240"/>
      <c r="U56" s="240"/>
    </row>
  </sheetData>
  <sheetProtection sheet="1" formatCells="0" formatColumns="0" formatRows="0"/>
  <mergeCells count="29">
    <mergeCell ref="C6:K6"/>
    <mergeCell ref="I8:J8"/>
    <mergeCell ref="O3:S17"/>
    <mergeCell ref="N47:N50"/>
    <mergeCell ref="N51:N54"/>
    <mergeCell ref="C13:K13"/>
    <mergeCell ref="N22:N23"/>
    <mergeCell ref="N24:N27"/>
    <mergeCell ref="N28:N29"/>
    <mergeCell ref="N33:N34"/>
    <mergeCell ref="N35:N43"/>
    <mergeCell ref="C15:K15"/>
    <mergeCell ref="B51:B54"/>
    <mergeCell ref="C51:C52"/>
    <mergeCell ref="C53:C54"/>
    <mergeCell ref="B47:B50"/>
    <mergeCell ref="C47:C50"/>
    <mergeCell ref="B33:B34"/>
    <mergeCell ref="C33:C34"/>
    <mergeCell ref="B35:B43"/>
    <mergeCell ref="C35:C41"/>
    <mergeCell ref="C42:C43"/>
    <mergeCell ref="B28:B29"/>
    <mergeCell ref="C26:C28"/>
    <mergeCell ref="B24:B27"/>
    <mergeCell ref="C22:C25"/>
    <mergeCell ref="I10:J11"/>
    <mergeCell ref="B22:B23"/>
    <mergeCell ref="C17:K17"/>
  </mergeCells>
  <conditionalFormatting sqref="F1 F21:F29 F32:F43 F46:F1048576 F3:F5 F7:F12">
    <cfRule type="containsText" dxfId="263" priority="15" operator="containsText" text="0">
      <formula>NOT(ISERROR(SEARCH("0",F1)))</formula>
    </cfRule>
  </conditionalFormatting>
  <conditionalFormatting sqref="F2">
    <cfRule type="containsText" dxfId="262" priority="9" operator="containsText" text="0">
      <formula>NOT(ISERROR(SEARCH("0",F2)))</formula>
    </cfRule>
  </conditionalFormatting>
  <conditionalFormatting sqref="F14">
    <cfRule type="containsText" dxfId="261" priority="3" operator="containsText" text="0">
      <formula>NOT(ISERROR(SEARCH("0",F14)))</formula>
    </cfRule>
  </conditionalFormatting>
  <conditionalFormatting sqref="F16">
    <cfRule type="containsText" dxfId="260" priority="1" operator="containsText" text="0">
      <formula>NOT(ISERROR(SEARCH("0",F16)))</formula>
    </cfRule>
  </conditionalFormatting>
  <pageMargins left="0.7" right="0.7" top="0.75" bottom="0.75" header="0.3" footer="0.3"/>
  <pageSetup paperSize="9" scale="42" orientation="portrait" r:id="rId1"/>
  <rowBreaks count="1" manualBreakCount="1">
    <brk id="43" max="16383" man="1"/>
  </rowBreaks>
  <colBreaks count="1" manualBreakCount="1">
    <brk id="13" max="1048575" man="1"/>
  </colBreaks>
  <ignoredErrors>
    <ignoredError sqref="O54 O43 O29 O22:P22 O23 O24 O25 O26 O27 O28 O33 O34 O35 O36 O37 O38 O39 O40 O41 O42 O47 O48 O49 O50 O51 O52 O53 Q22:S29 P23:P29 P33:S43 P47:S54" unlockedFormula="1"/>
  </ignoredErrors>
  <drawing r:id="rId2"/>
  <extLst>
    <ext xmlns:x14="http://schemas.microsoft.com/office/spreadsheetml/2009/9/main" uri="{78C0D931-6437-407d-A8EE-F0AAD7539E65}">
      <x14:conditionalFormattings>
        <x14:conditionalFormatting xmlns:xm="http://schemas.microsoft.com/office/excel/2006/main">
          <x14:cfRule type="iconSet" priority="16" id="{13C2B1B1-E218-409A-B450-6991325688FE}">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F21:F29 F3:F5 F1 F32:F43 F46:F1048576 F7:F12</xm:sqref>
        </x14:conditionalFormatting>
        <x14:conditionalFormatting xmlns:xm="http://schemas.microsoft.com/office/excel/2006/main">
          <x14:cfRule type="iconSet" priority="491" id="{2B94D964-115F-4332-8932-214F0E45B765}">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F2</xm:sqref>
        </x14:conditionalFormatting>
        <x14:conditionalFormatting xmlns:xm="http://schemas.microsoft.com/office/excel/2006/main">
          <x14:cfRule type="iconSet" priority="4" id="{F7CD3ABB-421F-4BDB-B937-F8480B21EFF4}">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F14</xm:sqref>
        </x14:conditionalFormatting>
        <x14:conditionalFormatting xmlns:xm="http://schemas.microsoft.com/office/excel/2006/main">
          <x14:cfRule type="iconSet" priority="2" id="{95D7FAA1-C990-45E8-8784-9E03C9E57A47}">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F16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Parameters!$B$18:$B$22</xm:f>
          </x14:formula1>
          <xm:sqref>G22:G29 G33:G43 G47:G54 O22:O29 O33:O43 O47:O54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2" tint="0.79998168889431442"/>
  </sheetPr>
  <dimension ref="A1:V79"/>
  <sheetViews>
    <sheetView showGridLines="0" zoomScale="80" zoomScaleNormal="80" workbookViewId="0"/>
  </sheetViews>
  <sheetFormatPr defaultColWidth="9.26953125" defaultRowHeight="13.8" x14ac:dyDescent="0.25"/>
  <cols>
    <col min="1" max="2" width="1.6328125" style="187" customWidth="1"/>
    <col min="3" max="3" width="2.6328125" style="187" customWidth="1"/>
    <col min="4" max="4" width="3.1796875" style="341" customWidth="1"/>
    <col min="5" max="5" width="55.6328125" style="187" customWidth="1"/>
    <col min="6" max="6" width="2.6328125" style="220" customWidth="1"/>
    <col min="7" max="7" width="14.6328125" style="187" customWidth="1"/>
    <col min="8" max="8" width="30.6328125" style="185" customWidth="1"/>
    <col min="9" max="10" width="20.6328125" style="185" customWidth="1"/>
    <col min="11" max="11" width="10.6328125" style="185" customWidth="1"/>
    <col min="12" max="12" width="1.6328125" style="187" customWidth="1"/>
    <col min="13" max="13" width="1.6328125" style="307" customWidth="1"/>
    <col min="14" max="14" width="1.6328125" style="143" customWidth="1"/>
    <col min="15" max="15" width="14.6328125" style="187" customWidth="1"/>
    <col min="16" max="16" width="40.6328125" style="185" customWidth="1"/>
    <col min="17" max="18" width="20.6328125" style="185" customWidth="1"/>
    <col min="19" max="19" width="10.6328125" style="185" customWidth="1"/>
    <col min="20" max="20" width="1.6328125" style="187" customWidth="1"/>
    <col min="21" max="21" width="1.6328125" style="307" customWidth="1"/>
    <col min="22" max="16384" width="9.26953125" style="187"/>
  </cols>
  <sheetData>
    <row r="1" spans="1:22" s="143" customFormat="1" ht="11.4" x14ac:dyDescent="0.25">
      <c r="A1" s="138"/>
      <c r="B1" s="138"/>
      <c r="C1" s="138"/>
      <c r="D1" s="138"/>
      <c r="E1" s="138"/>
      <c r="F1" s="255"/>
      <c r="G1" s="254"/>
      <c r="H1" s="254"/>
      <c r="I1" s="254"/>
      <c r="J1" s="254"/>
      <c r="K1" s="254"/>
      <c r="L1" s="138"/>
      <c r="M1" s="138"/>
      <c r="N1" s="138"/>
      <c r="O1" s="254"/>
      <c r="P1" s="254"/>
      <c r="Q1" s="254"/>
      <c r="R1" s="254"/>
      <c r="S1" s="254"/>
      <c r="T1" s="138"/>
      <c r="U1" s="138"/>
    </row>
    <row r="2" spans="1:22" s="261" customFormat="1" ht="15" customHeight="1" x14ac:dyDescent="0.2">
      <c r="A2" s="256"/>
      <c r="B2" s="145"/>
      <c r="C2" s="257"/>
      <c r="D2" s="148"/>
      <c r="E2" s="258"/>
      <c r="F2" s="149"/>
      <c r="G2" s="259"/>
      <c r="H2" s="259"/>
      <c r="I2" s="259"/>
      <c r="J2" s="259"/>
      <c r="K2" s="259"/>
      <c r="L2" s="150"/>
      <c r="M2" s="256"/>
      <c r="N2" s="504"/>
      <c r="O2" s="890"/>
      <c r="P2" s="890"/>
      <c r="Q2" s="890"/>
      <c r="R2" s="890"/>
      <c r="S2" s="890"/>
      <c r="T2" s="891"/>
      <c r="U2" s="256"/>
    </row>
    <row r="3" spans="1:22" s="261" customFormat="1" ht="25.05" customHeight="1" x14ac:dyDescent="0.25">
      <c r="A3" s="256"/>
      <c r="B3" s="152"/>
      <c r="C3" s="153" t="s">
        <v>48</v>
      </c>
      <c r="D3" s="154"/>
      <c r="E3" s="436"/>
      <c r="F3" s="155"/>
      <c r="H3" s="272" t="str">
        <f>IF(VLOOKUP("GEN-TOTAL",Languages!$A:$D,1,TRUE)="GEN-TOTAL",VLOOKUP("GEN-TOTAL",Languages!$A:$D,Summary!$C$7,TRUE),NA())</f>
        <v>Kokonaisarvio</v>
      </c>
      <c r="I3" s="156" t="str">
        <f>IF(VLOOKUP("GEN-SEC",Languages!$A:$D,1,TRUE)="GEN-SEC",VLOOKUP("GEN-SEC",Languages!$A:$D,Summary!$C$7,TRUE),NA())</f>
        <v>Tiedon luokittelu</v>
      </c>
      <c r="J3" s="437"/>
      <c r="L3" s="157"/>
      <c r="M3" s="256"/>
      <c r="N3" s="892"/>
      <c r="O3" s="1221" t="str">
        <f>VLOOKUP($C$3,Infoimport!$B$4:$C$14,2,FALSE)</f>
        <v xml:space="preserve">ASSET, tiedot Infoimport-välilehdeltä
</v>
      </c>
      <c r="P3" s="1221"/>
      <c r="Q3" s="1221"/>
      <c r="R3" s="1221"/>
      <c r="S3" s="1221"/>
      <c r="T3" s="893"/>
      <c r="U3" s="256"/>
    </row>
    <row r="4" spans="1:22" ht="25.05" customHeight="1" x14ac:dyDescent="0.3">
      <c r="A4" s="181"/>
      <c r="B4" s="312"/>
      <c r="C4" s="158" t="str">
        <f>IF(VLOOKUP($C$3,Languages!$A:$D,1,TRUE)=$C$3,VLOOKUP($C$3,Languages!$A:$D,Summary!$C$7,TRUE),NA())</f>
        <v>Omaisuuden, muutosten ja konfiguraation hallinta (ASSET)</v>
      </c>
      <c r="D4" s="328"/>
      <c r="E4" s="325"/>
      <c r="F4" s="265"/>
      <c r="H4" s="265" t="str">
        <f ca="1">VLOOKUP(VLOOKUP(CONCATENATE($C$3),Data!$K:$O,5,FALSE),Parameters!$C$7:$F$10,Summary!$C$7,FALSE)</f>
        <v>Kypsyystaso 0</v>
      </c>
      <c r="I4" s="781"/>
      <c r="J4" s="266"/>
      <c r="K4" s="306"/>
      <c r="L4" s="192"/>
      <c r="M4" s="138"/>
      <c r="N4" s="892"/>
      <c r="O4" s="1221"/>
      <c r="P4" s="1221"/>
      <c r="Q4" s="1221"/>
      <c r="R4" s="1221"/>
      <c r="S4" s="1221"/>
      <c r="T4" s="893"/>
      <c r="U4" s="138"/>
    </row>
    <row r="5" spans="1:22" ht="10.050000000000001" customHeight="1" x14ac:dyDescent="0.25">
      <c r="A5" s="181"/>
      <c r="B5" s="312"/>
      <c r="C5" s="325"/>
      <c r="D5" s="326"/>
      <c r="E5" s="326"/>
      <c r="F5" s="265"/>
      <c r="G5" s="265"/>
      <c r="H5" s="209"/>
      <c r="I5" s="266"/>
      <c r="J5" s="266"/>
      <c r="K5" s="266"/>
      <c r="L5" s="192"/>
      <c r="M5" s="138"/>
      <c r="N5" s="892"/>
      <c r="O5" s="1221"/>
      <c r="P5" s="1221"/>
      <c r="Q5" s="1221"/>
      <c r="R5" s="1221"/>
      <c r="S5" s="1221"/>
      <c r="T5" s="893"/>
      <c r="U5" s="138"/>
    </row>
    <row r="6" spans="1:22" ht="60" customHeight="1" x14ac:dyDescent="0.25">
      <c r="A6" s="181"/>
      <c r="B6" s="312"/>
      <c r="C6" s="1216" t="str">
        <f>IF(VLOOKUP(CONCATENATE(C3,"-0"),Languages!$A:$D,1,TRUE)=CONCATENATE(C3,"-0"),VLOOKUP(CONCATENATE(C3,"-0"),Languages!$A:$D,Summary!$C$7,TRUE),NA())</f>
        <v>Omaisuuden, muutosten ja konfiguraation hallinnan osiossa arvioidaan organisaation kykyä hallita laite-, ohjelmisto- ja tieto-omaisuuttaan suhteessa organisaatioon kohdistuviin riskeihin ja organisaation tavoitteisiin. Omaisuudella tarkoitetaan tässä yhteydessä toiminnon kannalta olennaisia laitteita, ohjelmistoja ja tietoa. IT-omaisuuden lisäksi tulee huomioida organisaation mahdollinen OT-omaisuus.</v>
      </c>
      <c r="D6" s="1216"/>
      <c r="E6" s="1216"/>
      <c r="F6" s="1216"/>
      <c r="G6" s="1216"/>
      <c r="H6" s="1216"/>
      <c r="I6" s="1216"/>
      <c r="J6" s="1216"/>
      <c r="K6" s="1216"/>
      <c r="L6" s="192"/>
      <c r="M6" s="138"/>
      <c r="N6" s="892"/>
      <c r="O6" s="1221"/>
      <c r="P6" s="1221"/>
      <c r="Q6" s="1221"/>
      <c r="R6" s="1221"/>
      <c r="S6" s="1221"/>
      <c r="T6" s="893"/>
      <c r="U6" s="138"/>
    </row>
    <row r="7" spans="1:22" ht="15.45" customHeight="1" x14ac:dyDescent="0.2">
      <c r="A7" s="181"/>
      <c r="B7" s="312"/>
      <c r="C7" s="268">
        <v>1</v>
      </c>
      <c r="D7" s="269" t="s">
        <v>1</v>
      </c>
      <c r="E7" s="270" t="str">
        <f>IF(VLOOKUP(CONCATENATE($C$3,"-",C7),Languages!$A:$D,1,TRUE)=CONCATENATE($C$3,"-",C7),VLOOKUP(CONCATENATE($C$3,"-",C7),Languages!$A:$D,Summary!$C$7,TRUE),NA())</f>
        <v>Laitteiden ja ohjelmistojen hallinta</v>
      </c>
      <c r="F7" s="345"/>
      <c r="H7" s="271" t="str">
        <f ca="1">VLOOKUP(VLOOKUP(CONCATENATE($C$3,"-",$C7),Data!$K:$O,5,FALSE),Parameters!$C$7:$F$10,Summary!$C$7,FALSE)</f>
        <v>Kypsyystaso 0</v>
      </c>
      <c r="I7" s="505" t="str">
        <f>IF(VLOOKUP("KM110",Languages!$A:$D,1,TRUE)="KM110",VLOOKUP("KM110",Languages!$A:$D,Summary!$C$7,TRUE),NA())</f>
        <v>Päivämäärä</v>
      </c>
      <c r="J7" s="479"/>
      <c r="K7" s="306"/>
      <c r="L7" s="192"/>
      <c r="M7" s="138"/>
      <c r="N7" s="892"/>
      <c r="O7" s="1221"/>
      <c r="P7" s="1221"/>
      <c r="Q7" s="1221"/>
      <c r="R7" s="1221"/>
      <c r="S7" s="1221"/>
      <c r="T7" s="893"/>
      <c r="U7" s="138"/>
    </row>
    <row r="8" spans="1:22" ht="14.4" customHeight="1" x14ac:dyDescent="0.25">
      <c r="A8" s="181"/>
      <c r="B8" s="312"/>
      <c r="C8" s="268">
        <v>2</v>
      </c>
      <c r="D8" s="269" t="s">
        <v>1</v>
      </c>
      <c r="E8" s="270" t="str">
        <f>IF(VLOOKUP(CONCATENATE($C$3,"-",C8),Languages!$A:$D,1,TRUE)=CONCATENATE($C$3,"-",C8),VLOOKUP(CONCATENATE($C$3,"-",C8),Languages!$A:$D,Summary!$C$7,TRUE),NA())</f>
        <v>Tietovarantojen hallinta</v>
      </c>
      <c r="F8" s="346"/>
      <c r="H8" s="271" t="str">
        <f ca="1">VLOOKUP(VLOOKUP(CONCATENATE($C$3,"-",$C8),Data!$K:$O,5,FALSE),Parameters!$C$7:$F$10,Summary!$C$7,FALSE)</f>
        <v>Kypsyystaso 0</v>
      </c>
      <c r="I8" s="1217"/>
      <c r="J8" s="1218"/>
      <c r="K8" s="306"/>
      <c r="L8" s="192"/>
      <c r="M8" s="138"/>
      <c r="N8" s="892"/>
      <c r="O8" s="1221"/>
      <c r="P8" s="1221"/>
      <c r="Q8" s="1221"/>
      <c r="R8" s="1221"/>
      <c r="S8" s="1221"/>
      <c r="T8" s="893"/>
      <c r="U8" s="138"/>
    </row>
    <row r="9" spans="1:22" ht="14.4" customHeight="1" x14ac:dyDescent="0.2">
      <c r="A9" s="181"/>
      <c r="B9" s="312"/>
      <c r="C9" s="268">
        <v>3</v>
      </c>
      <c r="D9" s="269" t="s">
        <v>1</v>
      </c>
      <c r="E9" s="270" t="str">
        <f>IF(VLOOKUP(CONCATENATE($C$3,"-",C9),Languages!$A:$D,1,TRUE)=CONCATENATE($C$3,"-",C9),VLOOKUP(CONCATENATE($C$3,"-",C9),Languages!$A:$D,Summary!$C$7,TRUE),NA())</f>
        <v>Konfiguraation hallinta</v>
      </c>
      <c r="F9" s="197"/>
      <c r="H9" s="271" t="str">
        <f ca="1">VLOOKUP(VLOOKUP(CONCATENATE($C$3,"-",$C9),Data!$K:$O,5,FALSE),Parameters!$C$7:$F$10,Summary!$C$7,FALSE)</f>
        <v>Kypsyystaso 0</v>
      </c>
      <c r="I9" s="505" t="str">
        <f>IF(VLOOKUP("KM111",Languages!$A:$D,1,TRUE)="KM111",VLOOKUP("KM111",Languages!$A:$D,Summary!$C$7,TRUE),NA())</f>
        <v>Osallistujat</v>
      </c>
      <c r="J9" s="479"/>
      <c r="K9" s="306"/>
      <c r="L9" s="192"/>
      <c r="M9" s="138"/>
      <c r="N9" s="892"/>
      <c r="O9" s="1221"/>
      <c r="P9" s="1221"/>
      <c r="Q9" s="1221"/>
      <c r="R9" s="1221"/>
      <c r="S9" s="1221"/>
      <c r="T9" s="893"/>
      <c r="U9" s="138"/>
    </row>
    <row r="10" spans="1:22" ht="14.4" customHeight="1" x14ac:dyDescent="0.25">
      <c r="A10" s="181"/>
      <c r="B10" s="312"/>
      <c r="C10" s="268">
        <v>4</v>
      </c>
      <c r="D10" s="269" t="s">
        <v>1</v>
      </c>
      <c r="E10" s="270" t="str">
        <f>IF(VLOOKUP(CONCATENATE($C$3,"-",C10),Languages!$A:$D,1,TRUE)=CONCATENATE($C$3,"-",C10),VLOOKUP(CONCATENATE($C$3,"-",C10),Languages!$A:$D,Summary!$C$7,TRUE),NA())</f>
        <v>Muutoksenhallinta</v>
      </c>
      <c r="F10" s="345"/>
      <c r="H10" s="271" t="str">
        <f ca="1">VLOOKUP(VLOOKUP(CONCATENATE($C$3,"-",$C10),Data!$K:$O,5,FALSE),Parameters!$C$7:$F$10,Summary!$C$7,FALSE)</f>
        <v>Kypsyystaso 0</v>
      </c>
      <c r="I10" s="1208"/>
      <c r="J10" s="1209"/>
      <c r="K10" s="306"/>
      <c r="L10" s="192"/>
      <c r="M10" s="138"/>
      <c r="N10" s="892"/>
      <c r="O10" s="1221"/>
      <c r="P10" s="1221"/>
      <c r="Q10" s="1221"/>
      <c r="R10" s="1221"/>
      <c r="S10" s="1221"/>
      <c r="T10" s="893"/>
      <c r="U10" s="138"/>
    </row>
    <row r="11" spans="1:22" ht="14.4" customHeight="1" x14ac:dyDescent="0.25">
      <c r="A11" s="181"/>
      <c r="B11" s="312"/>
      <c r="C11" s="268">
        <v>5</v>
      </c>
      <c r="D11" s="269" t="s">
        <v>1</v>
      </c>
      <c r="E11" s="270" t="str">
        <f>IF(VLOOKUP(CONCATENATE($C$3,"-",C11),Languages!$A:$D,1,TRUE)=CONCATENATE($C$3,"-",C11),VLOOKUP(CONCATENATE($C$3,"-",C11),Languages!$A:$D,Summary!$C$7,TRUE),NA())</f>
        <v>Yleisiä hallintatoimia</v>
      </c>
      <c r="F11" s="345"/>
      <c r="H11" s="271" t="str">
        <f ca="1">VLOOKUP(VLOOKUP(CONCATENATE($C$3,"-",$C11),Data!$K:$O,5,FALSE),Parameters!$C$7:$F$10,Summary!$C$7,FALSE)</f>
        <v>Kypsyystaso 1</v>
      </c>
      <c r="I11" s="1210"/>
      <c r="J11" s="1211"/>
      <c r="K11" s="330"/>
      <c r="L11" s="192"/>
      <c r="M11" s="138"/>
      <c r="N11" s="892"/>
      <c r="O11" s="1221"/>
      <c r="P11" s="1221"/>
      <c r="Q11" s="1221"/>
      <c r="R11" s="1221"/>
      <c r="S11" s="1221"/>
      <c r="T11" s="893"/>
      <c r="U11" s="138"/>
      <c r="V11" s="282"/>
    </row>
    <row r="12" spans="1:22" s="180" customFormat="1" ht="30" customHeight="1" x14ac:dyDescent="0.25">
      <c r="A12" s="169"/>
      <c r="B12" s="273"/>
      <c r="C12" s="173">
        <v>1</v>
      </c>
      <c r="D12" s="173" t="str">
        <f>IF(VLOOKUP(CONCATENATE($C$3,"-",C12),Languages!$A:$D,1,TRUE)=CONCATENATE($C$3,"-",C12),VLOOKUP(CONCATENATE($C$3,"-",C12),Languages!$A:$D,Summary!$C$7,TRUE),NA())</f>
        <v>Laitteiden ja ohjelmistojen hallinta</v>
      </c>
      <c r="E12" s="173"/>
      <c r="F12" s="275"/>
      <c r="G12" s="275"/>
      <c r="H12" s="276"/>
      <c r="I12" s="276"/>
      <c r="J12" s="276"/>
      <c r="K12" s="276"/>
      <c r="L12" s="192"/>
      <c r="M12" s="138"/>
      <c r="N12" s="892"/>
      <c r="O12" s="1221"/>
      <c r="P12" s="1221"/>
      <c r="Q12" s="1221"/>
      <c r="R12" s="1221"/>
      <c r="S12" s="1221"/>
      <c r="T12" s="893"/>
      <c r="U12" s="138"/>
      <c r="V12" s="282"/>
    </row>
    <row r="13" spans="1:22" s="282" customFormat="1" ht="30" customHeight="1" x14ac:dyDescent="0.25">
      <c r="A13" s="279"/>
      <c r="B13" s="280"/>
      <c r="C13" s="1223" t="str">
        <f>IF(VLOOKUP(CONCATENATE($C$3,"-",$C12,"-0"),Languages!$A:$D,1,TRUE)=CONCATENATE($C$3,"-",$C12,"-0"),VLOOKUP(CONCATENATE($C$3,"-",$C12,"-0"),Languages!$A:$D,Summary!$C$7,TRUE),NA())</f>
        <v>Rekisteri toiminnon kannalta tärkeistä laitteista ja ohjelmistoista on tärkeä osa kyberriskienhallintaa. Tärkeiden tietojen kuten versionumeroiden, sijainnin, omistajan tai kriittisyyden rekisteröinti on edellytys monille muille kyberturvallisuuden hallintatoimille. Hyvä rekisteri voi auttaa esimerkiksi tunnistamaan missä laitteissa päivitystä tarvitsevia ohjelmistoja on asennettuna.</v>
      </c>
      <c r="D13" s="1223"/>
      <c r="E13" s="1223"/>
      <c r="F13" s="1223"/>
      <c r="G13" s="1223"/>
      <c r="H13" s="1223"/>
      <c r="I13" s="1223"/>
      <c r="J13" s="1223"/>
      <c r="K13" s="1223"/>
      <c r="L13" s="192"/>
      <c r="M13" s="138"/>
      <c r="N13" s="892"/>
      <c r="O13" s="1221"/>
      <c r="P13" s="1221"/>
      <c r="Q13" s="1221"/>
      <c r="R13" s="1221"/>
      <c r="S13" s="1221"/>
      <c r="T13" s="893"/>
      <c r="U13" s="138"/>
    </row>
    <row r="14" spans="1:22" s="180" customFormat="1" ht="21" customHeight="1" x14ac:dyDescent="0.25">
      <c r="A14" s="169"/>
      <c r="B14" s="273"/>
      <c r="C14" s="173">
        <v>2</v>
      </c>
      <c r="D14" s="173" t="str">
        <f>IF(VLOOKUP(CONCATENATE($C$3,"-",C14),Languages!$A:$D,1,TRUE)=CONCATENATE($C$3,"-",C14),VLOOKUP(CONCATENATE($C$3,"-",C14),Languages!$A:$D,Summary!$C$7,TRUE),NA())</f>
        <v>Tietovarantojen hallinta</v>
      </c>
      <c r="E14" s="173"/>
      <c r="F14" s="297"/>
      <c r="G14" s="296" t="s">
        <v>16</v>
      </c>
      <c r="H14" s="297"/>
      <c r="I14" s="297"/>
      <c r="J14" s="297"/>
      <c r="K14" s="297"/>
      <c r="L14" s="192"/>
      <c r="M14" s="138"/>
      <c r="N14" s="892"/>
      <c r="O14" s="1221"/>
      <c r="P14" s="1221"/>
      <c r="Q14" s="1221"/>
      <c r="R14" s="1221"/>
      <c r="S14" s="1221"/>
      <c r="T14" s="893"/>
      <c r="U14" s="138"/>
      <c r="V14" s="282"/>
    </row>
    <row r="15" spans="1:22" s="282" customFormat="1" ht="30" customHeight="1" x14ac:dyDescent="0.25">
      <c r="A15" s="279"/>
      <c r="B15" s="280"/>
      <c r="C15" s="1223" t="str">
        <f>IF(VLOOKUP(CONCATENATE($C$3,"-",$C14,"-0"),Languages!$A:$D,1,TRUE)=CONCATENATE($C$3,"-",$C14,"-0"),VLOOKUP(CONCATENATE($C$3,"-",$C14,"-0"),Languages!$A:$D,Summary!$C$7,TRUE),NA())</f>
        <v>Rekisteri toiminnon kannalta tärkeistä tiedoista on tärkeä osa kyberriskienhallintaa. Tällaiset tietovarannot voivat liittyä esimerkiksi asiakkaisiin, tuotteisiin tai palveluihin. Hyvä rekisteri voi auttaa esimerkiksi tunnistamaan missä järjestelmissä käsitellään arkaluonteisia henkilötietoja.</v>
      </c>
      <c r="D15" s="1223"/>
      <c r="E15" s="1223"/>
      <c r="F15" s="1223"/>
      <c r="G15" s="1223"/>
      <c r="H15" s="1223"/>
      <c r="I15" s="1223"/>
      <c r="J15" s="1223"/>
      <c r="K15" s="1223"/>
      <c r="L15" s="192"/>
      <c r="M15" s="138"/>
      <c r="N15" s="892"/>
      <c r="O15" s="1221"/>
      <c r="P15" s="1221"/>
      <c r="Q15" s="1221"/>
      <c r="R15" s="1221"/>
      <c r="S15" s="1221"/>
      <c r="T15" s="893"/>
      <c r="U15" s="138"/>
    </row>
    <row r="16" spans="1:22" s="180" customFormat="1" ht="21" customHeight="1" x14ac:dyDescent="0.25">
      <c r="A16" s="169"/>
      <c r="B16" s="273"/>
      <c r="C16" s="173">
        <v>3</v>
      </c>
      <c r="D16" s="173" t="str">
        <f>IF(VLOOKUP(CONCATENATE($C$3,"-",C16),Languages!$A:$D,1,TRUE)=CONCATENATE($C$3,"-",C16),VLOOKUP(CONCATENATE($C$3,"-",C16),Languages!$A:$D,Summary!$C$7,TRUE),NA())</f>
        <v>Konfiguraation hallinta</v>
      </c>
      <c r="E16" s="173"/>
      <c r="F16" s="297"/>
      <c r="G16" s="296" t="s">
        <v>16</v>
      </c>
      <c r="H16" s="297"/>
      <c r="I16" s="297"/>
      <c r="J16" s="297"/>
      <c r="K16" s="297"/>
      <c r="L16" s="192"/>
      <c r="M16" s="138"/>
      <c r="N16" s="892"/>
      <c r="O16" s="1221"/>
      <c r="P16" s="1221"/>
      <c r="Q16" s="1221"/>
      <c r="R16" s="1221"/>
      <c r="S16" s="1221"/>
      <c r="T16" s="893"/>
      <c r="U16" s="138"/>
      <c r="V16" s="282"/>
    </row>
    <row r="17" spans="1:22" s="282" customFormat="1" ht="45.45" customHeight="1" x14ac:dyDescent="0.25">
      <c r="A17" s="279"/>
      <c r="B17" s="280"/>
      <c r="C17" s="1223" t="str">
        <f>IF(VLOOKUP(CONCATENATE($C$3,"-",$C16,"-0"),Languages!$A:$D,1,TRUE)=CONCATENATE($C$3,"-",$C16,"-0"),VLOOKUP(CONCATENATE($C$3,"-",$C16,"-0"),Languages!$A:$D,Summary!$C$7,TRUE),NA())</f>
        <v>Konfiguraation hallintaan kuuluu vakioitujen perusasetusten määritys ja niiden käyttö laitteita ja ohjelmistoja konfiguroitaessa. Useimmiten tällä pyritään siihen, että samanlaiset laitteet ja ohjelmistot konfiguroidaan toimimaan samalla tavalla. Toisaalta yksittäisten tai yksilöityjen laitteiden konfiguraation hallintaan kuuluu vakioitujen perusasetusten käyttö alustusvaiheessa ja myöhempien poikkeamien tunnistaminen.</v>
      </c>
      <c r="D17" s="1223"/>
      <c r="E17" s="1223"/>
      <c r="F17" s="1223"/>
      <c r="G17" s="1223"/>
      <c r="H17" s="1223"/>
      <c r="I17" s="1223"/>
      <c r="J17" s="1223"/>
      <c r="K17" s="1223"/>
      <c r="L17" s="192"/>
      <c r="M17" s="138"/>
      <c r="N17" s="892"/>
      <c r="O17" s="1221"/>
      <c r="P17" s="1221"/>
      <c r="Q17" s="1221"/>
      <c r="R17" s="1221"/>
      <c r="S17" s="1221"/>
      <c r="T17" s="893"/>
      <c r="U17" s="138"/>
    </row>
    <row r="18" spans="1:22" s="180" customFormat="1" ht="21" customHeight="1" x14ac:dyDescent="0.25">
      <c r="A18" s="169"/>
      <c r="B18" s="273"/>
      <c r="C18" s="173">
        <v>4</v>
      </c>
      <c r="D18" s="173" t="str">
        <f>IF(VLOOKUP(CONCATENATE($C$3,"-",C18),Languages!$A:$D,1,TRUE)=CONCATENATE($C$3,"-",C18),VLOOKUP(CONCATENATE($C$3,"-",C18),Languages!$A:$D,Summary!$C$7,TRUE),NA())</f>
        <v>Muutoksenhallinta</v>
      </c>
      <c r="E18" s="173"/>
      <c r="F18" s="297"/>
      <c r="G18" s="296" t="s">
        <v>16</v>
      </c>
      <c r="H18" s="297"/>
      <c r="I18" s="297"/>
      <c r="J18" s="297"/>
      <c r="K18" s="297"/>
      <c r="L18" s="192"/>
      <c r="M18" s="138"/>
      <c r="N18" s="892"/>
      <c r="O18" s="1221"/>
      <c r="P18" s="1221"/>
      <c r="Q18" s="1221"/>
      <c r="R18" s="1221"/>
      <c r="S18" s="1221"/>
      <c r="T18" s="893"/>
      <c r="U18" s="138"/>
      <c r="V18" s="282"/>
    </row>
    <row r="19" spans="1:22" s="282" customFormat="1" ht="46.2" customHeight="1" x14ac:dyDescent="0.25">
      <c r="A19" s="279"/>
      <c r="B19" s="280"/>
      <c r="C19" s="1223" t="str">
        <f>IF(VLOOKUP(CONCATENATE($C$3,"-",$C18,"-0"),Languages!$A:$D,1,TRUE)=CONCATENATE($C$3,"-",$C18,"-0"),VLOOKUP(CONCATENATE($C$3,"-",$C18,"-0"),Languages!$A:$D,Summary!$C$7,TRUE),NA())</f>
        <v>Laitteiden, ohjelmistojen ja tiedon muutoksenhallintaan kuuluu muutospyyntöjen arviointi, muutoksenhallintaprosessin noudattaminen ja luvattomien muutosten tunnistaminen. Muutosten ennakkoarvioinnilla pyritään varmistamaan, ettei toimintaympäristöön luoda haitallisia haavoittuvuuksia. Muutoksenhallinta kattaa omaisuuden koko elinkaaren: vaatimusmäärittelyn, testaamisen, käyttöönoton, ylläpidon ja käytöstä poistamisen.</v>
      </c>
      <c r="D19" s="1223"/>
      <c r="E19" s="1223"/>
      <c r="F19" s="1223"/>
      <c r="G19" s="1223"/>
      <c r="H19" s="1223"/>
      <c r="I19" s="1223"/>
      <c r="J19" s="1223"/>
      <c r="K19" s="1223"/>
      <c r="L19" s="192"/>
      <c r="M19" s="138"/>
      <c r="N19" s="892"/>
      <c r="O19" s="1221"/>
      <c r="P19" s="1221"/>
      <c r="Q19" s="1221"/>
      <c r="R19" s="1221"/>
      <c r="S19" s="1221"/>
      <c r="T19" s="893"/>
      <c r="U19" s="138"/>
    </row>
    <row r="20" spans="1:22" s="180" customFormat="1" ht="21" customHeight="1" x14ac:dyDescent="0.25">
      <c r="A20" s="169"/>
      <c r="B20" s="273"/>
      <c r="C20" s="173">
        <v>5</v>
      </c>
      <c r="D20" s="173" t="str">
        <f>IF(VLOOKUP(CONCATENATE($C$3,"-",C20),Languages!$A:$D,1,TRUE)=CONCATENATE($C$3,"-",C20),VLOOKUP(CONCATENATE($C$3,"-",C20),Languages!$A:$D,Summary!$C$7,TRUE),NA())</f>
        <v>Yleisiä hallintatoimia</v>
      </c>
      <c r="E20" s="173"/>
      <c r="F20" s="296"/>
      <c r="G20" s="296" t="s">
        <v>16</v>
      </c>
      <c r="H20" s="297"/>
      <c r="I20" s="297"/>
      <c r="J20" s="297"/>
      <c r="K20" s="297"/>
      <c r="L20" s="192"/>
      <c r="M20" s="138"/>
      <c r="N20" s="892"/>
      <c r="O20" s="1221"/>
      <c r="P20" s="1221"/>
      <c r="Q20" s="1221"/>
      <c r="R20" s="1221"/>
      <c r="S20" s="1221"/>
      <c r="T20" s="893"/>
      <c r="U20" s="138"/>
      <c r="V20" s="282"/>
    </row>
    <row r="21" spans="1:22" s="282" customFormat="1" ht="44.4" customHeight="1" x14ac:dyDescent="0.25">
      <c r="A21" s="309"/>
      <c r="B21" s="310"/>
      <c r="C21" s="1223" t="str">
        <f>IF(VLOOKUP(CONCATENATE($C$3,"-",$C20,"-0"),Languages!$A:$D,1,TRUE)=CONCATENATE($C$3,"-",$C20,"-0"),VLOOKUP(CONCATENATE($C$3,"-",$C20,"-0"),Languages!$A:$D,Summary!$C$7,TRUE),NA())</f>
        <v>Yleisillä hallintatoimilla arvioidaan sitä, kuinka syvällisesti osion kyberturvallisuuskäytännöt ovat juurtuneet osaksi organisaation toimintaa. Mitä syvemmin käytännöt ovat osa organisaation päivittäistä tekemistä sitä todennäköisempää on, että organisaatio noudattaa niitä myös kriisitilanteissa ja ajan kuluessa. Toisin sanoen, toiminta säilyy säännöllisenä, toistettavana ja korkealaatuisena.</v>
      </c>
      <c r="D21" s="1223"/>
      <c r="E21" s="1223"/>
      <c r="F21" s="1223"/>
      <c r="G21" s="1223"/>
      <c r="H21" s="1223"/>
      <c r="I21" s="1223"/>
      <c r="J21" s="1223"/>
      <c r="K21" s="1223"/>
      <c r="L21" s="192"/>
      <c r="M21" s="138"/>
      <c r="N21" s="894"/>
      <c r="O21" s="1222"/>
      <c r="P21" s="1222"/>
      <c r="Q21" s="1222"/>
      <c r="R21" s="1222"/>
      <c r="S21" s="1222"/>
      <c r="T21" s="895"/>
      <c r="U21" s="138"/>
    </row>
    <row r="22" spans="1:22" s="282" customFormat="1" ht="18" customHeight="1" x14ac:dyDescent="0.25">
      <c r="A22" s="309"/>
      <c r="B22" s="734"/>
      <c r="C22" s="734"/>
      <c r="D22" s="734"/>
      <c r="E22" s="734"/>
      <c r="F22" s="734"/>
      <c r="G22" s="734"/>
      <c r="H22" s="734"/>
      <c r="I22" s="734"/>
      <c r="J22" s="734"/>
      <c r="K22" s="734"/>
      <c r="L22" s="735"/>
      <c r="M22" s="138"/>
      <c r="N22" s="138"/>
      <c r="O22" s="255"/>
      <c r="P22" s="254"/>
      <c r="Q22" s="855"/>
      <c r="R22" s="254"/>
      <c r="S22" s="254"/>
      <c r="T22" s="138"/>
      <c r="U22" s="138"/>
    </row>
    <row r="23" spans="1:22" s="282" customFormat="1" ht="19.95" customHeight="1" x14ac:dyDescent="0.2">
      <c r="A23" s="309"/>
      <c r="B23" s="723"/>
      <c r="C23" s="721"/>
      <c r="D23" s="721"/>
      <c r="E23" s="721"/>
      <c r="F23" s="721"/>
      <c r="G23" s="721"/>
      <c r="H23" s="721"/>
      <c r="I23" s="721"/>
      <c r="J23" s="721"/>
      <c r="K23" s="721"/>
      <c r="L23" s="722"/>
      <c r="M23" s="256"/>
      <c r="N23" s="504" t="str">
        <f>IF(VLOOKUP("KM116",Languages!$A:$D,1,TRUE)="KM116",VLOOKUP("KM116",Languages!$A:$D,Summary!$C$7,TRUE),NA())</f>
        <v>EDELLINEN ARVIOINTI</v>
      </c>
      <c r="O23" s="442"/>
      <c r="P23" s="259"/>
      <c r="Q23" s="856" t="str">
        <f>IF(VLOOKUP("KM110",Languages!$A:$D,1,TRUE)="KM110",VLOOKUP("KM110",Languages!$A:$D,Summary!$C$7,TRUE),NA())</f>
        <v>Päivämäärä</v>
      </c>
      <c r="R23" s="259"/>
      <c r="S23" s="259"/>
      <c r="T23" s="150"/>
      <c r="U23" s="256"/>
    </row>
    <row r="24" spans="1:22" s="180" customFormat="1" ht="19.95" customHeight="1" x14ac:dyDescent="0.25">
      <c r="A24" s="169"/>
      <c r="B24" s="273"/>
      <c r="C24" s="173">
        <v>1</v>
      </c>
      <c r="D24" s="173" t="str">
        <f>IF(VLOOKUP(CONCATENATE($C$3,"-",C24),Languages!$A:$D,1,TRUE)=CONCATENATE($C$3,"-",C24),VLOOKUP(CONCATENATE($C$3,"-",C24),Languages!$A:$D,Summary!$C$7,TRUE),NA())</f>
        <v>Laitteiden ja ohjelmistojen hallinta</v>
      </c>
      <c r="E24" s="173"/>
      <c r="F24" s="275"/>
      <c r="G24" s="275"/>
      <c r="H24" s="276"/>
      <c r="I24" s="276"/>
      <c r="J24" s="276"/>
      <c r="K24" s="276"/>
      <c r="L24" s="192"/>
      <c r="M24" s="309"/>
      <c r="N24" s="310"/>
      <c r="O24" s="443"/>
      <c r="P24" s="438"/>
      <c r="Q24" s="781"/>
      <c r="R24" s="854"/>
      <c r="S24" s="854"/>
      <c r="T24" s="281"/>
      <c r="U24" s="309"/>
      <c r="V24" s="282"/>
    </row>
    <row r="25" spans="1:22" s="289" customFormat="1" ht="19.95" customHeight="1" x14ac:dyDescent="0.2">
      <c r="A25" s="308"/>
      <c r="B25" s="283"/>
      <c r="C25" s="284" t="str">
        <f>IF(VLOOKUP("GEN-LEVEL",Languages!$A:$D,1,TRUE)="GEN-LEVEL",VLOOKUP("GEN-LEVEL",Languages!$A:$D,Summary!$C$7,TRUE),NA())</f>
        <v>Taso</v>
      </c>
      <c r="D25" s="284"/>
      <c r="E25" s="285" t="str">
        <f>IF(VLOOKUP("GEN-PRACTICE",Languages!$A:$D,1,TRUE)="GEN-PRACTICE",VLOOKUP("GEN-PRACTICE",Languages!$A:$D,Summary!$C$7,TRUE),NA())</f>
        <v>Käytäntö</v>
      </c>
      <c r="F25" s="286"/>
      <c r="G25" s="1003" t="str">
        <f>IF(VLOOKUP("GEN-ANSWER",Languages!$A:$D,1,TRUE)="GEN-ANSWER",VLOOKUP("GEN-ANSWER",Languages!$A:$D,Summary!$C$7,TRUE),NA())</f>
        <v>Vastaus</v>
      </c>
      <c r="H25" s="1004" t="str">
        <f>IF(VLOOKUP("KM112",Languages!$A:$D,1,TRUE)="KM112",VLOOKUP("KM112",Languages!$A:$D,Summary!$C$7,TRUE),NA())</f>
        <v>Kommentit</v>
      </c>
      <c r="I25" s="1004" t="str">
        <f>IF(VLOOKUP("KM113",Languages!$A:$D,1,TRUE)="KM113",VLOOKUP("KM113",Languages!$A:$D,Summary!$C$7,TRUE),NA())</f>
        <v>Sisäinen viittaus</v>
      </c>
      <c r="J25" s="1004" t="str">
        <f>IF(VLOOKUP("KM114",Languages!$A:$D,1,TRUE)="KM114",VLOOKUP("KM114",Languages!$A:$D,Summary!$C$7,TRUE),NA())</f>
        <v>Ulkoinen viittaus</v>
      </c>
      <c r="K25" s="1004" t="str">
        <f>IF(VLOOKUP("KM115",Languages!$A:$D,1,TRUE)="KM115",VLOOKUP("KM115",Languages!$A:$D,Summary!$C$7,TRUE),NA())</f>
        <v>Kehityskohde</v>
      </c>
      <c r="L25" s="287"/>
      <c r="M25" s="288"/>
      <c r="N25" s="283"/>
      <c r="O25" s="503" t="str">
        <f>IF(VLOOKUP("GEN-ANSWER",Languages!$A:$D,1,TRUE)="GEN-ANSWER",VLOOKUP("GEN-ANSWER",Languages!$A:$D,Summary!$C$7,TRUE),NA())</f>
        <v>Vastaus</v>
      </c>
      <c r="P25" s="503" t="str">
        <f>IF(VLOOKUP("KM112",Languages!$A:$D,1,TRUE)="KM112",VLOOKUP("KM112",Languages!$A:$D,Summary!$C$7,TRUE),NA())</f>
        <v>Kommentit</v>
      </c>
      <c r="Q25" s="503" t="str">
        <f>IF(VLOOKUP("KM113",Languages!$A:$D,1,TRUE)="KM113",VLOOKUP("KM113",Languages!$A:$D,Summary!$C$7,TRUE),NA())</f>
        <v>Sisäinen viittaus</v>
      </c>
      <c r="R25" s="503" t="str">
        <f>IF(VLOOKUP("KM114",Languages!$A:$D,1,TRUE)="KM114",VLOOKUP("KM114",Languages!$A:$D,Summary!$C$7,TRUE),NA())</f>
        <v>Ulkoinen viittaus</v>
      </c>
      <c r="S25" s="503" t="str">
        <f>IF(VLOOKUP("KM115",Languages!$A:$D,1,TRUE)="KM115",VLOOKUP("KM115",Languages!$A:$D,Summary!$C$7,TRUE),NA())</f>
        <v>Kehityskohde</v>
      </c>
      <c r="T25" s="287"/>
      <c r="U25" s="288"/>
    </row>
    <row r="26" spans="1:22" s="293" customFormat="1" ht="60" customHeight="1" x14ac:dyDescent="0.25">
      <c r="A26" s="279"/>
      <c r="B26" s="1204"/>
      <c r="C26" s="566">
        <v>1</v>
      </c>
      <c r="D26" s="400" t="s">
        <v>5</v>
      </c>
      <c r="E26" s="506" t="str">
        <f>IF(VLOOKUP(CONCATENATE($C$3,"-",$D26),Languages!$A:$D,1,TRUE)=CONCATENATE($C$3,"-",$D26),VLOOKUP(CONCATENATE($C$3,"-",$D26),Languages!$A:$D,Summary!$C$7,TRUE),NA())</f>
        <v>Toiminnon kannalta tärkeistä laitteista ja ohjelmistoista on olemassa rekisteri. (Huomioi myös mahdollisten OT-ympäristöjen laitteet ja ohjelmistot). Tasolla 1 rekisterin ylläpidon ei tarvitse olla systemaattista ja säännöllistä.</v>
      </c>
      <c r="F26" s="401">
        <f t="shared" ref="F26:F34" si="0">IFERROR(INT(LEFT($G26,1)),0)</f>
        <v>0</v>
      </c>
      <c r="G26" s="496"/>
      <c r="H26" s="526"/>
      <c r="I26" s="526"/>
      <c r="J26" s="526"/>
      <c r="K26" s="527"/>
      <c r="L26" s="192"/>
      <c r="M26" s="138"/>
      <c r="N26" s="160"/>
      <c r="O26" s="985" t="str">
        <f>VLOOKUP(VLOOKUP($C$3&amp;"-"&amp;$D26,Import!$C:$D,2,FALSE),Parameters!$C$18:$F$22,Summary!$C$7,FALSE)</f>
        <v xml:space="preserve">0 - Vastaus puuttuu </v>
      </c>
      <c r="P26" s="1010" t="str">
        <f>IF(VLOOKUP($C$3&amp;"-"&amp;$D26,Import!$C:$H,3,FALSE)=0,"",VLOOKUP($C$3&amp;"-"&amp;$D26,Import!$C:$H,3,FALSE))</f>
        <v/>
      </c>
      <c r="Q26" s="1010" t="str">
        <f>IF(VLOOKUP($C$3&amp;"-"&amp;$D26,Import!$C:$H,4,FALSE)=0,"",VLOOKUP($C$3&amp;"-"&amp;$D26,Import!$C:$H,4,FALSE))</f>
        <v/>
      </c>
      <c r="R26" s="1010" t="str">
        <f>IF(VLOOKUP($C$3&amp;"-"&amp;$D26,Import!$C:$H,5,FALSE)=0,"",VLOOKUP($C$3&amp;"-"&amp;$D26,Import!$C:$H,5,FALSE))</f>
        <v/>
      </c>
      <c r="S26" s="1011" t="str">
        <f>IF(VLOOKUP($C$3&amp;"-"&amp;$D26,Import!$C:$H,6,FALSE)=0,"",VLOOKUP($C$3&amp;"-"&amp;$D26,Import!$C:$H,6,FALSE))</f>
        <v/>
      </c>
      <c r="T26" s="192"/>
      <c r="U26" s="138"/>
      <c r="V26" s="282"/>
    </row>
    <row r="27" spans="1:22" s="293" customFormat="1" ht="45" customHeight="1" x14ac:dyDescent="0.25">
      <c r="A27" s="279"/>
      <c r="B27" s="1204"/>
      <c r="C27" s="1231">
        <v>2</v>
      </c>
      <c r="D27" s="397" t="s">
        <v>7</v>
      </c>
      <c r="E27" s="507" t="str">
        <f>IF(VLOOKUP(CONCATENATE($C$3,"-",$D27),Languages!$A:$D,1,TRUE)=CONCATENATE($C$3,"-",$D27),VLOOKUP(CONCATENATE($C$3,"-",$D27),Languages!$A:$D,Summary!$C$7,TRUE),NA())</f>
        <v>Rekisteriin on kirjattu sellaiset toimintoon kuuluvat laitteet ja ohjelmistot, joita voitaisiin käyttää hyökkääjän tavoitteen saavuttamiseen.</v>
      </c>
      <c r="F27" s="396">
        <f t="shared" si="0"/>
        <v>0</v>
      </c>
      <c r="G27" s="528"/>
      <c r="H27" s="486"/>
      <c r="I27" s="486"/>
      <c r="J27" s="486"/>
      <c r="K27" s="487"/>
      <c r="L27" s="192"/>
      <c r="M27" s="138"/>
      <c r="N27" s="160"/>
      <c r="O27" s="1037" t="str">
        <f>VLOOKUP(VLOOKUP($C$3&amp;"-"&amp;$D27,Import!$C:$D,2,FALSE),Parameters!$C$18:$F$22,Summary!$C$7,FALSE)</f>
        <v xml:space="preserve">0 - Vastaus puuttuu </v>
      </c>
      <c r="P27" s="1032" t="str">
        <f>IF(VLOOKUP($C$3&amp;"-"&amp;$D27,Import!$C:$H,3,FALSE)=0,"",VLOOKUP($C$3&amp;"-"&amp;$D27,Import!$C:$H,3,FALSE))</f>
        <v/>
      </c>
      <c r="Q27" s="1032" t="str">
        <f>IF(VLOOKUP($C$3&amp;"-"&amp;$D27,Import!$C:$H,4,FALSE)=0,"",VLOOKUP($C$3&amp;"-"&amp;$D27,Import!$C:$H,4,FALSE))</f>
        <v/>
      </c>
      <c r="R27" s="1032" t="str">
        <f>IF(VLOOKUP($C$3&amp;"-"&amp;$D27,Import!$C:$H,5,FALSE)=0,"",VLOOKUP($C$3&amp;"-"&amp;$D27,Import!$C:$H,5,FALSE))</f>
        <v/>
      </c>
      <c r="S27" s="1033" t="str">
        <f>IF(VLOOKUP($C$3&amp;"-"&amp;$D27,Import!$C:$H,6,FALSE)=0,"",VLOOKUP($C$3&amp;"-"&amp;$D27,Import!$C:$H,6,FALSE))</f>
        <v/>
      </c>
      <c r="T27" s="192"/>
      <c r="U27" s="138"/>
      <c r="V27" s="282"/>
    </row>
    <row r="28" spans="1:22" s="293" customFormat="1" ht="59.4" customHeight="1" x14ac:dyDescent="0.25">
      <c r="A28" s="279"/>
      <c r="B28" s="1204"/>
      <c r="C28" s="1232"/>
      <c r="D28" s="290" t="s">
        <v>8</v>
      </c>
      <c r="E28" s="508" t="str">
        <f>IF(VLOOKUP(CONCATENATE($C$3,"-",$D28),Languages!$A:$D,1,TRUE)=CONCATENATE($C$3,"-",$D28),VLOOKUP(CONCATENATE($C$3,"-",$D28),Languages!$A:$D,Summary!$C$7,TRUE),NA())</f>
        <v>Rekisteriin on kirjattu laitteista ja ohjelmistoista sellaisia ominaisuuksia, jotka tukevat organisaation kybertoimintaa (esimerkiksi laitteen tai ohjelmiston sijainti, prioriteetti, käyttöjärjestelmä tai firmware-versio).</v>
      </c>
      <c r="F28" s="291">
        <f t="shared" si="0"/>
        <v>0</v>
      </c>
      <c r="G28" s="311"/>
      <c r="H28" s="480"/>
      <c r="I28" s="480"/>
      <c r="J28" s="480"/>
      <c r="K28" s="488"/>
      <c r="L28" s="192"/>
      <c r="M28" s="138"/>
      <c r="N28" s="160"/>
      <c r="O28" s="991" t="str">
        <f>VLOOKUP(VLOOKUP($C$3&amp;"-"&amp;$D28,Import!$C:$D,2,FALSE),Parameters!$C$18:$F$22,Summary!$C$7,FALSE)</f>
        <v xml:space="preserve">0 - Vastaus puuttuu </v>
      </c>
      <c r="P28" s="1015" t="str">
        <f>IF(VLOOKUP($C$3&amp;"-"&amp;$D28,Import!$C:$H,3,FALSE)=0,"",VLOOKUP($C$3&amp;"-"&amp;$D28,Import!$C:$H,3,FALSE))</f>
        <v/>
      </c>
      <c r="Q28" s="1015" t="str">
        <f>IF(VLOOKUP($C$3&amp;"-"&amp;$D28,Import!$C:$H,4,FALSE)=0,"",VLOOKUP($C$3&amp;"-"&amp;$D28,Import!$C:$H,4,FALSE))</f>
        <v/>
      </c>
      <c r="R28" s="1015" t="str">
        <f>IF(VLOOKUP($C$3&amp;"-"&amp;$D28,Import!$C:$H,5,FALSE)=0,"",VLOOKUP($C$3&amp;"-"&amp;$D28,Import!$C:$H,5,FALSE))</f>
        <v/>
      </c>
      <c r="S28" s="1016" t="str">
        <f>IF(VLOOKUP($C$3&amp;"-"&amp;$D28,Import!$C:$H,6,FALSE)=0,"",VLOOKUP($C$3&amp;"-"&amp;$D28,Import!$C:$H,6,FALSE))</f>
        <v/>
      </c>
      <c r="T28" s="192"/>
      <c r="U28" s="138"/>
      <c r="V28" s="282"/>
    </row>
    <row r="29" spans="1:22" s="293" customFormat="1" ht="45" customHeight="1" x14ac:dyDescent="0.25">
      <c r="A29" s="279"/>
      <c r="B29" s="1204"/>
      <c r="C29" s="1232"/>
      <c r="D29" s="290" t="s">
        <v>9</v>
      </c>
      <c r="E29" s="509" t="str">
        <f>IF(VLOOKUP(CONCATENATE($C$3,"-",$D29),Languages!$A:$D,1,TRUE)=CONCATENATE($C$3,"-",$D29),VLOOKUP(CONCATENATE($C$3,"-",$D29),Languages!$A:$D,Summary!$C$7,TRUE),NA())</f>
        <v>Rekisteriin kirjatut laitteet ja ohjelmistot on priorisoitu noudattaen määriteltyjä priorisointikriteerejä, joihin kuuluu arviointi laitteen tai ohjelmiston tärkeydestä toiminnolle.</v>
      </c>
      <c r="F29" s="291">
        <f t="shared" si="0"/>
        <v>0</v>
      </c>
      <c r="G29" s="311"/>
      <c r="H29" s="480"/>
      <c r="I29" s="480"/>
      <c r="J29" s="480"/>
      <c r="K29" s="488"/>
      <c r="L29" s="192"/>
      <c r="M29" s="138"/>
      <c r="N29" s="160"/>
      <c r="O29" s="991" t="str">
        <f>VLOOKUP(VLOOKUP($C$3&amp;"-"&amp;$D29,Import!$C:$D,2,FALSE),Parameters!$C$18:$F$22,Summary!$C$7,FALSE)</f>
        <v xml:space="preserve">0 - Vastaus puuttuu </v>
      </c>
      <c r="P29" s="1015" t="str">
        <f>IF(VLOOKUP($C$3&amp;"-"&amp;$D29,Import!$C:$H,3,FALSE)=0,"",VLOOKUP($C$3&amp;"-"&amp;$D29,Import!$C:$H,3,FALSE))</f>
        <v/>
      </c>
      <c r="Q29" s="1015" t="str">
        <f>IF(VLOOKUP($C$3&amp;"-"&amp;$D29,Import!$C:$H,4,FALSE)=0,"",VLOOKUP($C$3&amp;"-"&amp;$D29,Import!$C:$H,4,FALSE))</f>
        <v/>
      </c>
      <c r="R29" s="1015" t="str">
        <f>IF(VLOOKUP($C$3&amp;"-"&amp;$D29,Import!$C:$H,5,FALSE)=0,"",VLOOKUP($C$3&amp;"-"&amp;$D29,Import!$C:$H,5,FALSE))</f>
        <v/>
      </c>
      <c r="S29" s="1016" t="str">
        <f>IF(VLOOKUP($C$3&amp;"-"&amp;$D29,Import!$C:$H,6,FALSE)=0,"",VLOOKUP($C$3&amp;"-"&amp;$D29,Import!$C:$H,6,FALSE))</f>
        <v/>
      </c>
      <c r="T29" s="192"/>
      <c r="U29" s="138"/>
      <c r="V29" s="282"/>
    </row>
    <row r="30" spans="1:22" s="293" customFormat="1" ht="45" customHeight="1" x14ac:dyDescent="0.25">
      <c r="A30" s="279"/>
      <c r="B30" s="1204"/>
      <c r="C30" s="1233"/>
      <c r="D30" s="398" t="s">
        <v>10</v>
      </c>
      <c r="E30" s="510" t="str">
        <f>IF(VLOOKUP(CONCATENATE($C$3,"-",$D30),Languages!$A:$D,1,TRUE)=CONCATENATE($C$3,"-",$D30),VLOOKUP(CONCATENATE($C$3,"-",$D30),Languages!$A:$D,Summary!$C$7,TRUE),NA())</f>
        <v>Priorisointikriteereissä huomioidaan lisäksi se voidaanko laitetta tai ohjelmistoa käyttää hyökkääjän tavoitteen saavuttamiseen.</v>
      </c>
      <c r="F30" s="395">
        <f t="shared" si="0"/>
        <v>0</v>
      </c>
      <c r="G30" s="534"/>
      <c r="H30" s="535"/>
      <c r="I30" s="535"/>
      <c r="J30" s="535"/>
      <c r="K30" s="536"/>
      <c r="L30" s="192"/>
      <c r="M30" s="138"/>
      <c r="N30" s="160"/>
      <c r="O30" s="1047" t="str">
        <f>VLOOKUP(VLOOKUP($C$3&amp;"-"&amp;$D30,Import!$C:$D,2,FALSE),Parameters!$C$18:$F$22,Summary!$C$7,FALSE)</f>
        <v xml:space="preserve">0 - Vastaus puuttuu </v>
      </c>
      <c r="P30" s="1020" t="str">
        <f>IF(VLOOKUP($C$3&amp;"-"&amp;$D30,Import!$C:$H,3,FALSE)=0,"",VLOOKUP($C$3&amp;"-"&amp;$D30,Import!$C:$H,3,FALSE))</f>
        <v/>
      </c>
      <c r="Q30" s="1020" t="str">
        <f>IF(VLOOKUP($C$3&amp;"-"&amp;$D30,Import!$C:$H,4,FALSE)=0,"",VLOOKUP($C$3&amp;"-"&amp;$D30,Import!$C:$H,4,FALSE))</f>
        <v/>
      </c>
      <c r="R30" s="1020" t="str">
        <f>IF(VLOOKUP($C$3&amp;"-"&amp;$D30,Import!$C:$H,5,FALSE)=0,"",VLOOKUP($C$3&amp;"-"&amp;$D30,Import!$C:$H,5,FALSE))</f>
        <v/>
      </c>
      <c r="S30" s="1021" t="str">
        <f>IF(VLOOKUP($C$3&amp;"-"&amp;$D30,Import!$C:$H,6,FALSE)=0,"",VLOOKUP($C$3&amp;"-"&amp;$D30,Import!$C:$H,6,FALSE))</f>
        <v/>
      </c>
      <c r="T30" s="192"/>
      <c r="U30" s="138"/>
      <c r="V30" s="282"/>
    </row>
    <row r="31" spans="1:22" s="293" customFormat="1" ht="34.950000000000003" customHeight="1" x14ac:dyDescent="0.25">
      <c r="A31" s="279"/>
      <c r="B31" s="1204"/>
      <c r="C31" s="1234">
        <v>3</v>
      </c>
      <c r="D31" s="399" t="s">
        <v>11</v>
      </c>
      <c r="E31" s="511" t="str">
        <f>IF(VLOOKUP(CONCATENATE($C$3,"-",$D31),Languages!$A:$D,1,TRUE)=CONCATENATE($C$3,"-",$D31),VLOOKUP(CONCATENATE($C$3,"-",$D31),Languages!$A:$D,Summary!$C$7,TRUE),NA())</f>
        <v>Rekisteri on täydellinen (eli rekisteri kattaa kaikki toiminnon pyörittämiseen tarvittavat laitteet ja ohjelmistot).</v>
      </c>
      <c r="F31" s="396">
        <f t="shared" si="0"/>
        <v>0</v>
      </c>
      <c r="G31" s="485"/>
      <c r="H31" s="482"/>
      <c r="I31" s="482"/>
      <c r="J31" s="482"/>
      <c r="K31" s="491"/>
      <c r="L31" s="192"/>
      <c r="M31" s="138"/>
      <c r="N31" s="160"/>
      <c r="O31" s="988" t="str">
        <f>VLOOKUP(VLOOKUP($C$3&amp;"-"&amp;$D31,Import!$C:$D,2,FALSE),Parameters!$C$18:$F$22,Summary!$C$7,FALSE)</f>
        <v xml:space="preserve">0 - Vastaus puuttuu </v>
      </c>
      <c r="P31" s="1022" t="str">
        <f>IF(VLOOKUP($C$3&amp;"-"&amp;$D31,Import!$C:$H,3,FALSE)=0,"",VLOOKUP($C$3&amp;"-"&amp;$D31,Import!$C:$H,3,FALSE))</f>
        <v/>
      </c>
      <c r="Q31" s="1022" t="str">
        <f>IF(VLOOKUP($C$3&amp;"-"&amp;$D31,Import!$C:$H,4,FALSE)=0,"",VLOOKUP($C$3&amp;"-"&amp;$D31,Import!$C:$H,4,FALSE))</f>
        <v/>
      </c>
      <c r="R31" s="1022" t="str">
        <f>IF(VLOOKUP($C$3&amp;"-"&amp;$D31,Import!$C:$H,5,FALSE)=0,"",VLOOKUP($C$3&amp;"-"&amp;$D31,Import!$C:$H,5,FALSE))</f>
        <v/>
      </c>
      <c r="S31" s="1023" t="str">
        <f>IF(VLOOKUP($C$3&amp;"-"&amp;$D31,Import!$C:$H,6,FALSE)=0,"",VLOOKUP($C$3&amp;"-"&amp;$D31,Import!$C:$H,6,FALSE))</f>
        <v/>
      </c>
      <c r="T31" s="192"/>
      <c r="U31" s="138"/>
      <c r="V31" s="282"/>
    </row>
    <row r="32" spans="1:22" s="293" customFormat="1" ht="42.6" customHeight="1" x14ac:dyDescent="0.25">
      <c r="A32" s="279"/>
      <c r="B32" s="392"/>
      <c r="C32" s="1235"/>
      <c r="D32" s="294" t="s">
        <v>12</v>
      </c>
      <c r="E32" s="509" t="str">
        <f>IF(VLOOKUP(CONCATENATE($C$3,"-",$D32),Languages!$A:$D,1,TRUE)=CONCATENATE($C$3,"-",$D32),VLOOKUP(CONCATENATE($C$3,"-",$D32),Languages!$A:$D,Summary!$C$7,TRUE),NA())</f>
        <v>Rekisteri on ajan tasalla (eli rekisteriä päivitetään aika ajoin ja määriteltyjen tilanteiden kuten järjestelmämuutosten yhteydessä).</v>
      </c>
      <c r="F32" s="291">
        <f t="shared" si="0"/>
        <v>0</v>
      </c>
      <c r="G32" s="311"/>
      <c r="H32" s="483"/>
      <c r="I32" s="483"/>
      <c r="J32" s="483"/>
      <c r="K32" s="492"/>
      <c r="L32" s="192"/>
      <c r="M32" s="138"/>
      <c r="N32" s="160"/>
      <c r="O32" s="991" t="str">
        <f>VLOOKUP(VLOOKUP($C$3&amp;"-"&amp;$D32,Import!$C:$D,2,FALSE),Parameters!$C$18:$F$22,Summary!$C$7,FALSE)</f>
        <v xml:space="preserve">0 - Vastaus puuttuu </v>
      </c>
      <c r="P32" s="1017" t="str">
        <f>IF(VLOOKUP($C$3&amp;"-"&amp;$D32,Import!$C:$H,3,FALSE)=0,"",VLOOKUP($C$3&amp;"-"&amp;$D32,Import!$C:$H,3,FALSE))</f>
        <v/>
      </c>
      <c r="Q32" s="1017" t="str">
        <f>IF(VLOOKUP($C$3&amp;"-"&amp;$D32,Import!$C:$H,4,FALSE)=0,"",VLOOKUP($C$3&amp;"-"&amp;$D32,Import!$C:$H,4,FALSE))</f>
        <v/>
      </c>
      <c r="R32" s="1017" t="str">
        <f>IF(VLOOKUP($C$3&amp;"-"&amp;$D32,Import!$C:$H,5,FALSE)=0,"",VLOOKUP($C$3&amp;"-"&amp;$D32,Import!$C:$H,5,FALSE))</f>
        <v/>
      </c>
      <c r="S32" s="1018" t="str">
        <f>IF(VLOOKUP($C$3&amp;"-"&amp;$D32,Import!$C:$H,6,FALSE)=0,"",VLOOKUP($C$3&amp;"-"&amp;$D32,Import!$C:$H,6,FALSE))</f>
        <v/>
      </c>
      <c r="T32" s="192"/>
      <c r="U32" s="138"/>
      <c r="V32" s="282"/>
    </row>
    <row r="33" spans="1:22" s="293" customFormat="1" ht="72" customHeight="1" x14ac:dyDescent="0.25">
      <c r="A33" s="279"/>
      <c r="B33" s="392"/>
      <c r="C33" s="1235"/>
      <c r="D33" s="294" t="s">
        <v>13</v>
      </c>
      <c r="E33" s="509" t="str">
        <f>IF(VLOOKUP(CONCATENATE($C$3,"-",$D33),Languages!$A:$D,1,TRUE)=CONCATENATE($C$3,"-",$D33),VLOOKUP(CONCATENATE($C$3,"-",$D33),Languages!$A:$D,Summary!$C$7,TRUE),NA())</f>
        <v>Rekisteriä käytetään kyberriskien tunnistamiseen (esimerkiksi tunnistamaan sellaisia riskejä, jotka liittyvät omaisuuden käyttöiän tai käyttötuen päättymiseen tai yksittäisiin laitteisiin tai ohjelmistoihin, joiden toimintahäiriö voisi keskeyttää koko toiminnon).</v>
      </c>
      <c r="F33" s="291">
        <f t="shared" si="0"/>
        <v>0</v>
      </c>
      <c r="G33" s="311"/>
      <c r="H33" s="483"/>
      <c r="I33" s="483"/>
      <c r="J33" s="483"/>
      <c r="K33" s="492"/>
      <c r="L33" s="192"/>
      <c r="M33" s="138"/>
      <c r="N33" s="160"/>
      <c r="O33" s="991" t="str">
        <f>VLOOKUP(VLOOKUP($C$3&amp;"-"&amp;$D33,Import!$C:$D,2,FALSE),Parameters!$C$18:$F$22,Summary!$C$7,FALSE)</f>
        <v xml:space="preserve">0 - Vastaus puuttuu </v>
      </c>
      <c r="P33" s="1017" t="str">
        <f>IF(VLOOKUP($C$3&amp;"-"&amp;$D33,Import!$C:$H,3,FALSE)=0,"",VLOOKUP($C$3&amp;"-"&amp;$D33,Import!$C:$H,3,FALSE))</f>
        <v/>
      </c>
      <c r="Q33" s="1017" t="str">
        <f>IF(VLOOKUP($C$3&amp;"-"&amp;$D33,Import!$C:$H,4,FALSE)=0,"",VLOOKUP($C$3&amp;"-"&amp;$D33,Import!$C:$H,4,FALSE))</f>
        <v/>
      </c>
      <c r="R33" s="1017" t="str">
        <f>IF(VLOOKUP($C$3&amp;"-"&amp;$D33,Import!$C:$H,5,FALSE)=0,"",VLOOKUP($C$3&amp;"-"&amp;$D33,Import!$C:$H,5,FALSE))</f>
        <v/>
      </c>
      <c r="S33" s="1018" t="str">
        <f>IF(VLOOKUP($C$3&amp;"-"&amp;$D33,Import!$C:$H,6,FALSE)=0,"",VLOOKUP($C$3&amp;"-"&amp;$D33,Import!$C:$H,6,FALSE))</f>
        <v/>
      </c>
      <c r="T33" s="192"/>
      <c r="U33" s="138"/>
      <c r="V33" s="282"/>
    </row>
    <row r="34" spans="1:22" s="293" customFormat="1" ht="45" customHeight="1" x14ac:dyDescent="0.25">
      <c r="A34" s="279"/>
      <c r="B34" s="392"/>
      <c r="C34" s="1236"/>
      <c r="D34" s="402" t="s">
        <v>14</v>
      </c>
      <c r="E34" s="512" t="str">
        <f>IF(VLOOKUP(CONCATENATE($C$3,"-",$D34),Languages!$A:$D,1,TRUE)=CONCATENATE($C$3,"-",$D34),VLOOKUP(CONCATENATE($C$3,"-",$D34),Languages!$A:$D,Summary!$C$7,TRUE),NA())</f>
        <v>Laitteisiin tallennettu tieto tuhotaan tai poistetaan turvallisin keinoin ennen kuin laite otetaan uudelleen käyttöön tai laitteen tullessa käyttöikänsä päähän.</v>
      </c>
      <c r="F34" s="403">
        <f t="shared" si="0"/>
        <v>0</v>
      </c>
      <c r="G34" s="489"/>
      <c r="H34" s="484"/>
      <c r="I34" s="484"/>
      <c r="J34" s="484"/>
      <c r="K34" s="493"/>
      <c r="L34" s="192"/>
      <c r="M34" s="138"/>
      <c r="N34" s="160"/>
      <c r="O34" s="996" t="str">
        <f>VLOOKUP(VLOOKUP($C$3&amp;"-"&amp;$D34,Import!$C:$D,2,FALSE),Parameters!$C$18:$F$22,Summary!$C$7,FALSE)</f>
        <v xml:space="preserve">0 - Vastaus puuttuu </v>
      </c>
      <c r="P34" s="1024" t="str">
        <f>IF(VLOOKUP($C$3&amp;"-"&amp;$D34,Import!$C:$H,3,FALSE)=0,"",VLOOKUP($C$3&amp;"-"&amp;$D34,Import!$C:$H,3,FALSE))</f>
        <v/>
      </c>
      <c r="Q34" s="1024" t="str">
        <f>IF(VLOOKUP($C$3&amp;"-"&amp;$D34,Import!$C:$H,4,FALSE)=0,"",VLOOKUP($C$3&amp;"-"&amp;$D34,Import!$C:$H,4,FALSE))</f>
        <v/>
      </c>
      <c r="R34" s="1024" t="str">
        <f>IF(VLOOKUP($C$3&amp;"-"&amp;$D34,Import!$C:$H,5,FALSE)=0,"",VLOOKUP($C$3&amp;"-"&amp;$D34,Import!$C:$H,5,FALSE))</f>
        <v/>
      </c>
      <c r="S34" s="1025" t="str">
        <f>IF(VLOOKUP($C$3&amp;"-"&amp;$D34,Import!$C:$H,6,FALSE)=0,"",VLOOKUP($C$3&amp;"-"&amp;$D34,Import!$C:$H,6,FALSE))</f>
        <v/>
      </c>
      <c r="T34" s="192"/>
      <c r="U34" s="138"/>
      <c r="V34" s="282"/>
    </row>
    <row r="35" spans="1:22" s="180" customFormat="1" ht="30" customHeight="1" x14ac:dyDescent="0.25">
      <c r="A35" s="169"/>
      <c r="B35" s="273"/>
      <c r="C35" s="173">
        <v>2</v>
      </c>
      <c r="D35" s="173" t="str">
        <f>IF(VLOOKUP(CONCATENATE($C$3,"-",C35),Languages!$A:$D,1,TRUE)=CONCATENATE($C$3,"-",C35),VLOOKUP(CONCATENATE($C$3,"-",C35),Languages!$A:$D,Summary!$C$7,TRUE),NA())</f>
        <v>Tietovarantojen hallinta</v>
      </c>
      <c r="E35" s="173"/>
      <c r="F35" s="297"/>
      <c r="G35" s="1006"/>
      <c r="H35" s="1030"/>
      <c r="I35" s="1030"/>
      <c r="J35" s="1030"/>
      <c r="K35" s="1030"/>
      <c r="L35" s="192"/>
      <c r="M35" s="138"/>
      <c r="N35" s="160"/>
      <c r="O35" s="296"/>
      <c r="P35" s="297"/>
      <c r="Q35" s="297"/>
      <c r="R35" s="297"/>
      <c r="S35" s="297"/>
      <c r="T35" s="192"/>
      <c r="U35" s="138"/>
      <c r="V35" s="282"/>
    </row>
    <row r="36" spans="1:22" s="289" customFormat="1" ht="19.95" customHeight="1" x14ac:dyDescent="0.2">
      <c r="A36" s="308"/>
      <c r="B36" s="283"/>
      <c r="C36" s="284" t="str">
        <f>IF(VLOOKUP("GEN-LEVEL",Languages!$A:$D,1,TRUE)="GEN-LEVEL",VLOOKUP("GEN-LEVEL",Languages!$A:$D,Summary!$C$7,TRUE),NA())</f>
        <v>Taso</v>
      </c>
      <c r="D36" s="284"/>
      <c r="E36" s="285" t="str">
        <f>IF(VLOOKUP("GEN-PRACTICE",Languages!$A:$D,1,TRUE)="GEN-PRACTICE",VLOOKUP("GEN-PRACTICE",Languages!$A:$D,Summary!$C$7,TRUE),NA())</f>
        <v>Käytäntö</v>
      </c>
      <c r="F36" s="286"/>
      <c r="G36" s="1003" t="str">
        <f>IF(VLOOKUP("GEN-ANSWER",Languages!$A:$D,1,TRUE)="GEN-ANSWER",VLOOKUP("GEN-ANSWER",Languages!$A:$D,Summary!$C$7,TRUE),NA())</f>
        <v>Vastaus</v>
      </c>
      <c r="H36" s="1004" t="str">
        <f>IF(VLOOKUP("KM112",Languages!$A:$D,1,TRUE)="KM112",VLOOKUP("KM112",Languages!$A:$D,Summary!$C$7,TRUE),NA())</f>
        <v>Kommentit</v>
      </c>
      <c r="I36" s="1004" t="str">
        <f>IF(VLOOKUP("KM113",Languages!$A:$D,1,TRUE)="KM113",VLOOKUP("KM113",Languages!$A:$D,Summary!$C$7,TRUE),NA())</f>
        <v>Sisäinen viittaus</v>
      </c>
      <c r="J36" s="1004" t="str">
        <f>IF(VLOOKUP("KM114",Languages!$A:$D,1,TRUE)="KM114",VLOOKUP("KM114",Languages!$A:$D,Summary!$C$7,TRUE),NA())</f>
        <v>Ulkoinen viittaus</v>
      </c>
      <c r="K36" s="1004" t="str">
        <f>IF(VLOOKUP("KM115",Languages!$A:$D,1,TRUE)="KM115",VLOOKUP("KM115",Languages!$A:$D,Summary!$C$7,TRUE),NA())</f>
        <v>Kehityskohde</v>
      </c>
      <c r="L36" s="287"/>
      <c r="M36" s="288"/>
      <c r="N36" s="283"/>
      <c r="O36" s="503" t="str">
        <f>IF(VLOOKUP("GEN-ANSWER",Languages!$A:$D,1,TRUE)="GEN-ANSWER",VLOOKUP("GEN-ANSWER",Languages!$A:$D,Summary!$C$7,TRUE),NA())</f>
        <v>Vastaus</v>
      </c>
      <c r="P36" s="503" t="str">
        <f>IF(VLOOKUP("KM112",Languages!$A:$D,1,TRUE)="KM112",VLOOKUP("KM112",Languages!$A:$D,Summary!$C$7,TRUE),NA())</f>
        <v>Kommentit</v>
      </c>
      <c r="Q36" s="503" t="str">
        <f>IF(VLOOKUP("KM113",Languages!$A:$D,1,TRUE)="KM113",VLOOKUP("KM113",Languages!$A:$D,Summary!$C$7,TRUE),NA())</f>
        <v>Sisäinen viittaus</v>
      </c>
      <c r="R36" s="503" t="str">
        <f>IF(VLOOKUP("KM114",Languages!$A:$D,1,TRUE)="KM114",VLOOKUP("KM114",Languages!$A:$D,Summary!$C$7,TRUE),NA())</f>
        <v>Ulkoinen viittaus</v>
      </c>
      <c r="S36" s="503" t="str">
        <f>IF(VLOOKUP("KM115",Languages!$A:$D,1,TRUE)="KM115",VLOOKUP("KM115",Languages!$A:$D,Summary!$C$7,TRUE),NA())</f>
        <v>Kehityskohde</v>
      </c>
      <c r="T36" s="287"/>
      <c r="U36" s="288"/>
    </row>
    <row r="37" spans="1:22" s="300" customFormat="1" ht="77.400000000000006" customHeight="1" x14ac:dyDescent="0.25">
      <c r="A37" s="309"/>
      <c r="B37" s="1213"/>
      <c r="C37" s="567">
        <v>1</v>
      </c>
      <c r="D37" s="408" t="s">
        <v>17</v>
      </c>
      <c r="E37" s="513" t="str">
        <f>IF(VLOOKUP(CONCATENATE($C$3,"-",$D37),Languages!$A:$D,1,TRUE)=CONCATENATE($C$3,"-",$D37),VLOOKUP(CONCATENATE($C$3,"-",$D37),Languages!$A:$D,Summary!$C$7,TRUE),NA())</f>
        <v>Toiminnon kannalta tärkeistä tietovarannoista (kuten asiakastiedosta tai laitteiden ja ohjelmistojen perusasetuksista) on olemassa rekisteri. (Huomioi myös mahdollisten OT-ympäristöjen tietovarannot). Tasolla 1 rekisterin ylläpidon ei tarvitse olla systemaattista ja säännöllistä.</v>
      </c>
      <c r="F37" s="409">
        <f t="shared" ref="F37:F45" si="1">IFERROR(INT(LEFT($G37,1)),0)</f>
        <v>0</v>
      </c>
      <c r="G37" s="528"/>
      <c r="H37" s="529"/>
      <c r="I37" s="529"/>
      <c r="J37" s="529"/>
      <c r="K37" s="530"/>
      <c r="L37" s="192"/>
      <c r="M37" s="138"/>
      <c r="N37" s="160"/>
      <c r="O37" s="1037" t="str">
        <f>VLOOKUP(VLOOKUP($C$3&amp;"-"&amp;$D37,Import!$C:$D,2,FALSE),Parameters!$C$18:$F$22,Summary!$C$7,FALSE)</f>
        <v xml:space="preserve">0 - Vastaus puuttuu </v>
      </c>
      <c r="P37" s="1038" t="str">
        <f>IF(VLOOKUP($C$3&amp;"-"&amp;$D37,Import!$C:$H,3,FALSE)=0,"",VLOOKUP($C$3&amp;"-"&amp;$D37,Import!$C:$H,3,FALSE))</f>
        <v/>
      </c>
      <c r="Q37" s="1038" t="str">
        <f>IF(VLOOKUP($C$3&amp;"-"&amp;$D37,Import!$C:$H,4,FALSE)=0,"",VLOOKUP($C$3&amp;"-"&amp;$D37,Import!$C:$H,4,FALSE))</f>
        <v/>
      </c>
      <c r="R37" s="1038" t="str">
        <f>IF(VLOOKUP($C$3&amp;"-"&amp;$D37,Import!$C:$H,5,FALSE)=0,"",VLOOKUP($C$3&amp;"-"&amp;$D37,Import!$C:$H,5,FALSE))</f>
        <v/>
      </c>
      <c r="S37" s="1039" t="str">
        <f>IF(VLOOKUP($C$3&amp;"-"&amp;$D37,Import!$C:$H,6,FALSE)=0,"",VLOOKUP($C$3&amp;"-"&amp;$D37,Import!$C:$H,6,FALSE))</f>
        <v/>
      </c>
      <c r="T37" s="192"/>
      <c r="U37" s="138"/>
      <c r="V37" s="282"/>
    </row>
    <row r="38" spans="1:22" s="300" customFormat="1" ht="45" customHeight="1" x14ac:dyDescent="0.25">
      <c r="A38" s="309"/>
      <c r="B38" s="1213"/>
      <c r="C38" s="1224">
        <v>2</v>
      </c>
      <c r="D38" s="406" t="s">
        <v>18</v>
      </c>
      <c r="E38" s="507" t="str">
        <f>IF(VLOOKUP(CONCATENATE($C$3,"-",$D38),Languages!$A:$D,1,TRUE)=CONCATENATE($C$3,"-",$D38),VLOOKUP(CONCATENATE($C$3,"-",$D38),Languages!$A:$D,Summary!$C$7,TRUE),NA())</f>
        <v>Rekisteriin on kirjattu sellaiset toimintoon kuuluvat tietovarannot, joita voitaisiin käyttää hyökkääjän tavoitteen saavuttamiseen.</v>
      </c>
      <c r="F38" s="396">
        <f t="shared" si="1"/>
        <v>0</v>
      </c>
      <c r="G38" s="485"/>
      <c r="H38" s="482"/>
      <c r="I38" s="482"/>
      <c r="J38" s="482"/>
      <c r="K38" s="491"/>
      <c r="L38" s="192"/>
      <c r="M38" s="138"/>
      <c r="N38" s="160"/>
      <c r="O38" s="988" t="str">
        <f>VLOOKUP(VLOOKUP($C$3&amp;"-"&amp;$D38,Import!$C:$D,2,FALSE),Parameters!$C$18:$F$22,Summary!$C$7,FALSE)</f>
        <v xml:space="preserve">0 - Vastaus puuttuu </v>
      </c>
      <c r="P38" s="1022" t="str">
        <f>IF(VLOOKUP($C$3&amp;"-"&amp;$D38,Import!$C:$H,3,FALSE)=0,"",VLOOKUP($C$3&amp;"-"&amp;$D38,Import!$C:$H,3,FALSE))</f>
        <v/>
      </c>
      <c r="Q38" s="1022" t="str">
        <f>IF(VLOOKUP($C$3&amp;"-"&amp;$D38,Import!$C:$H,4,FALSE)=0,"",VLOOKUP($C$3&amp;"-"&amp;$D38,Import!$C:$H,4,FALSE))</f>
        <v/>
      </c>
      <c r="R38" s="1022" t="str">
        <f>IF(VLOOKUP($C$3&amp;"-"&amp;$D38,Import!$C:$H,5,FALSE)=0,"",VLOOKUP($C$3&amp;"-"&amp;$D38,Import!$C:$H,5,FALSE))</f>
        <v/>
      </c>
      <c r="S38" s="1023" t="str">
        <f>IF(VLOOKUP($C$3&amp;"-"&amp;$D38,Import!$C:$H,6,FALSE)=0,"",VLOOKUP($C$3&amp;"-"&amp;$D38,Import!$C:$H,6,FALSE))</f>
        <v/>
      </c>
      <c r="T38" s="192"/>
      <c r="U38" s="138"/>
      <c r="V38" s="282"/>
    </row>
    <row r="39" spans="1:22" s="300" customFormat="1" ht="60" customHeight="1" x14ac:dyDescent="0.25">
      <c r="A39" s="309"/>
      <c r="B39" s="1213"/>
      <c r="C39" s="1237"/>
      <c r="D39" s="298" t="s">
        <v>19</v>
      </c>
      <c r="E39" s="508" t="str">
        <f>IF(VLOOKUP(CONCATENATE($C$3,"-",$D39),Languages!$A:$D,1,TRUE)=CONCATENATE($C$3,"-",$D39),VLOOKUP(CONCATENATE($C$3,"-",$D39),Languages!$A:$D,Summary!$C$7,TRUE),NA())</f>
        <v>Rekisteriin on kirjattu tietovarannoista sellaisia ominaisuuksia, jotka tukevat organisaation kybertoimintaa (esimerkiksi varmuuskopioiden sijainti ja päivitysväli, tiedon tallennussijainti tai tiedon kyberturvallisuusvaatimukset).</v>
      </c>
      <c r="F39" s="291">
        <f t="shared" si="1"/>
        <v>0</v>
      </c>
      <c r="G39" s="311"/>
      <c r="H39" s="483"/>
      <c r="I39" s="483"/>
      <c r="J39" s="483"/>
      <c r="K39" s="492"/>
      <c r="L39" s="192"/>
      <c r="M39" s="138"/>
      <c r="N39" s="160"/>
      <c r="O39" s="991" t="str">
        <f>VLOOKUP(VLOOKUP($C$3&amp;"-"&amp;$D39,Import!$C:$D,2,FALSE),Parameters!$C$18:$F$22,Summary!$C$7,FALSE)</f>
        <v xml:space="preserve">0 - Vastaus puuttuu </v>
      </c>
      <c r="P39" s="1017" t="str">
        <f>IF(VLOOKUP($C$3&amp;"-"&amp;$D39,Import!$C:$H,3,FALSE)=0,"",VLOOKUP($C$3&amp;"-"&amp;$D39,Import!$C:$H,3,FALSE))</f>
        <v/>
      </c>
      <c r="Q39" s="1017" t="str">
        <f>IF(VLOOKUP($C$3&amp;"-"&amp;$D39,Import!$C:$H,4,FALSE)=0,"",VLOOKUP($C$3&amp;"-"&amp;$D39,Import!$C:$H,4,FALSE))</f>
        <v/>
      </c>
      <c r="R39" s="1017" t="str">
        <f>IF(VLOOKUP($C$3&amp;"-"&amp;$D39,Import!$C:$H,5,FALSE)=0,"",VLOOKUP($C$3&amp;"-"&amp;$D39,Import!$C:$H,5,FALSE))</f>
        <v/>
      </c>
      <c r="S39" s="1018" t="str">
        <f>IF(VLOOKUP($C$3&amp;"-"&amp;$D39,Import!$C:$H,6,FALSE)=0,"",VLOOKUP($C$3&amp;"-"&amp;$D39,Import!$C:$H,6,FALSE))</f>
        <v/>
      </c>
      <c r="T39" s="192"/>
      <c r="U39" s="138"/>
      <c r="V39" s="282"/>
    </row>
    <row r="40" spans="1:22" s="300" customFormat="1" ht="45" customHeight="1" x14ac:dyDescent="0.25">
      <c r="A40" s="309"/>
      <c r="B40" s="1213"/>
      <c r="C40" s="1237"/>
      <c r="D40" s="298" t="s">
        <v>20</v>
      </c>
      <c r="E40" s="508" t="str">
        <f>IF(VLOOKUP(CONCATENATE($C$3,"-",$D40),Languages!$A:$D,1,TRUE)=CONCATENATE($C$3,"-",$D40),VLOOKUP(CONCATENATE($C$3,"-",$D40),Languages!$A:$D,Summary!$C$7,TRUE),NA())</f>
        <v>Rekisteriin kirjatut tietovarannot on priorisoitu noudattaen määriteltyjä priorisointikriteerejä, joihin kuuluu arviointi tietovarannon tärkeydestä toiminnolle.</v>
      </c>
      <c r="F40" s="291">
        <f t="shared" si="1"/>
        <v>0</v>
      </c>
      <c r="G40" s="311"/>
      <c r="H40" s="483"/>
      <c r="I40" s="483"/>
      <c r="J40" s="483"/>
      <c r="K40" s="492"/>
      <c r="L40" s="192"/>
      <c r="M40" s="138"/>
      <c r="N40" s="160"/>
      <c r="O40" s="991" t="str">
        <f>VLOOKUP(VLOOKUP($C$3&amp;"-"&amp;$D40,Import!$C:$D,2,FALSE),Parameters!$C$18:$F$22,Summary!$C$7,FALSE)</f>
        <v xml:space="preserve">0 - Vastaus puuttuu </v>
      </c>
      <c r="P40" s="1017" t="str">
        <f>IF(VLOOKUP($C$3&amp;"-"&amp;$D40,Import!$C:$H,3,FALSE)=0,"",VLOOKUP($C$3&amp;"-"&amp;$D40,Import!$C:$H,3,FALSE))</f>
        <v/>
      </c>
      <c r="Q40" s="1017" t="str">
        <f>IF(VLOOKUP($C$3&amp;"-"&amp;$D40,Import!$C:$H,4,FALSE)=0,"",VLOOKUP($C$3&amp;"-"&amp;$D40,Import!$C:$H,4,FALSE))</f>
        <v/>
      </c>
      <c r="R40" s="1017" t="str">
        <f>IF(VLOOKUP($C$3&amp;"-"&amp;$D40,Import!$C:$H,5,FALSE)=0,"",VLOOKUP($C$3&amp;"-"&amp;$D40,Import!$C:$H,5,FALSE))</f>
        <v/>
      </c>
      <c r="S40" s="1018" t="str">
        <f>IF(VLOOKUP($C$3&amp;"-"&amp;$D40,Import!$C:$H,6,FALSE)=0,"",VLOOKUP($C$3&amp;"-"&amp;$D40,Import!$C:$H,6,FALSE))</f>
        <v/>
      </c>
      <c r="T40" s="192"/>
      <c r="U40" s="138"/>
      <c r="V40" s="282"/>
    </row>
    <row r="41" spans="1:22" s="300" customFormat="1" ht="34.950000000000003" customHeight="1" x14ac:dyDescent="0.25">
      <c r="A41" s="309"/>
      <c r="B41" s="1213"/>
      <c r="C41" s="1225"/>
      <c r="D41" s="407" t="s">
        <v>21</v>
      </c>
      <c r="E41" s="514" t="str">
        <f>IF(VLOOKUP(CONCATENATE($C$3,"-",$D41),Languages!$A:$D,1,TRUE)=CONCATENATE($C$3,"-",$D41),VLOOKUP(CONCATENATE($C$3,"-",$D41),Languages!$A:$D,Summary!$C$7,TRUE),NA())</f>
        <v>Priorisointikriteereissä huomioidaan lisäksi se voidaanko tietovarantoa käyttää hyökkääjän tavoitteen saavuttamiseen.</v>
      </c>
      <c r="F41" s="403">
        <f t="shared" si="1"/>
        <v>0</v>
      </c>
      <c r="G41" s="489"/>
      <c r="H41" s="484"/>
      <c r="I41" s="484"/>
      <c r="J41" s="484"/>
      <c r="K41" s="493"/>
      <c r="L41" s="192"/>
      <c r="M41" s="138"/>
      <c r="N41" s="160"/>
      <c r="O41" s="996" t="str">
        <f>VLOOKUP(VLOOKUP($C$3&amp;"-"&amp;$D41,Import!$C:$D,2,FALSE),Parameters!$C$18:$F$22,Summary!$C$7,FALSE)</f>
        <v xml:space="preserve">0 - Vastaus puuttuu </v>
      </c>
      <c r="P41" s="1024" t="str">
        <f>IF(VLOOKUP($C$3&amp;"-"&amp;$D41,Import!$C:$H,3,FALSE)=0,"",VLOOKUP($C$3&amp;"-"&amp;$D41,Import!$C:$H,3,FALSE))</f>
        <v/>
      </c>
      <c r="Q41" s="1024" t="str">
        <f>IF(VLOOKUP($C$3&amp;"-"&amp;$D41,Import!$C:$H,4,FALSE)=0,"",VLOOKUP($C$3&amp;"-"&amp;$D41,Import!$C:$H,4,FALSE))</f>
        <v/>
      </c>
      <c r="R41" s="1024" t="str">
        <f>IF(VLOOKUP($C$3&amp;"-"&amp;$D41,Import!$C:$H,5,FALSE)=0,"",VLOOKUP($C$3&amp;"-"&amp;$D41,Import!$C:$H,5,FALSE))</f>
        <v/>
      </c>
      <c r="S41" s="1025" t="str">
        <f>IF(VLOOKUP($C$3&amp;"-"&amp;$D41,Import!$C:$H,6,FALSE)=0,"",VLOOKUP($C$3&amp;"-"&amp;$D41,Import!$C:$H,6,FALSE))</f>
        <v/>
      </c>
      <c r="T41" s="192"/>
      <c r="U41" s="138"/>
      <c r="V41" s="282"/>
    </row>
    <row r="42" spans="1:22" s="300" customFormat="1" ht="34.950000000000003" customHeight="1" x14ac:dyDescent="0.25">
      <c r="A42" s="309"/>
      <c r="B42" s="1213"/>
      <c r="C42" s="1226">
        <v>3</v>
      </c>
      <c r="D42" s="404" t="s">
        <v>109</v>
      </c>
      <c r="E42" s="515" t="str">
        <f>IF(VLOOKUP(CONCATENATE($C$3,"-",$D42),Languages!$A:$D,1,TRUE)=CONCATENATE($C$3,"-",$D42),VLOOKUP(CONCATENATE($C$3,"-",$D42),Languages!$A:$D,Summary!$C$7,TRUE),NA())</f>
        <v>Rekisteri on täydellinen (eli rekisteri kattaa kaikki toiminnon pyörittämiseen tarvittavat tietovarannot).</v>
      </c>
      <c r="F42" s="405">
        <f t="shared" si="1"/>
        <v>0</v>
      </c>
      <c r="G42" s="531"/>
      <c r="H42" s="532"/>
      <c r="I42" s="532"/>
      <c r="J42" s="532"/>
      <c r="K42" s="533"/>
      <c r="L42" s="192"/>
      <c r="M42" s="138"/>
      <c r="N42" s="160"/>
      <c r="O42" s="1012" t="str">
        <f>VLOOKUP(VLOOKUP($C$3&amp;"-"&amp;$D42,Import!$C:$D,2,FALSE),Parameters!$C$18:$F$22,Summary!$C$7,FALSE)</f>
        <v xml:space="preserve">0 - Vastaus puuttuu </v>
      </c>
      <c r="P42" s="1048" t="str">
        <f>IF(VLOOKUP($C$3&amp;"-"&amp;$D42,Import!$C:$H,3,FALSE)=0,"",VLOOKUP($C$3&amp;"-"&amp;$D42,Import!$C:$H,3,FALSE))</f>
        <v/>
      </c>
      <c r="Q42" s="1048" t="str">
        <f>IF(VLOOKUP($C$3&amp;"-"&amp;$D42,Import!$C:$H,4,FALSE)=0,"",VLOOKUP($C$3&amp;"-"&amp;$D42,Import!$C:$H,4,FALSE))</f>
        <v/>
      </c>
      <c r="R42" s="1048" t="str">
        <f>IF(VLOOKUP($C$3&amp;"-"&amp;$D42,Import!$C:$H,5,FALSE)=0,"",VLOOKUP($C$3&amp;"-"&amp;$D42,Import!$C:$H,5,FALSE))</f>
        <v/>
      </c>
      <c r="S42" s="1049" t="str">
        <f>IF(VLOOKUP($C$3&amp;"-"&amp;$D42,Import!$C:$H,6,FALSE)=0,"",VLOOKUP($C$3&amp;"-"&amp;$D42,Import!$C:$H,6,FALSE))</f>
        <v/>
      </c>
      <c r="T42" s="192"/>
      <c r="U42" s="138"/>
      <c r="V42" s="282"/>
    </row>
    <row r="43" spans="1:22" s="300" customFormat="1" ht="34.950000000000003" customHeight="1" x14ac:dyDescent="0.25">
      <c r="A43" s="309"/>
      <c r="B43" s="390"/>
      <c r="C43" s="1228"/>
      <c r="D43" s="298" t="s">
        <v>173</v>
      </c>
      <c r="E43" s="508" t="str">
        <f>IF(VLOOKUP(CONCATENATE($C$3,"-",$D43),Languages!$A:$D,1,TRUE)=CONCATENATE($C$3,"-",$D43),VLOOKUP(CONCATENATE($C$3,"-",$D43),Languages!$A:$D,Summary!$C$7,TRUE),NA())</f>
        <v>Rekisteri on ajan tasalla (eli rekisteriä päivitetään aika ajoin ja määriteltyjen tilanteiden kuten järjestelmämuutosten yhteydessä).</v>
      </c>
      <c r="F43" s="291">
        <f t="shared" si="1"/>
        <v>0</v>
      </c>
      <c r="G43" s="311"/>
      <c r="H43" s="483"/>
      <c r="I43" s="483"/>
      <c r="J43" s="483"/>
      <c r="K43" s="492"/>
      <c r="L43" s="192"/>
      <c r="M43" s="138"/>
      <c r="N43" s="160"/>
      <c r="O43" s="991" t="str">
        <f>VLOOKUP(VLOOKUP($C$3&amp;"-"&amp;$D43,Import!$C:$D,2,FALSE),Parameters!$C$18:$F$22,Summary!$C$7,FALSE)</f>
        <v xml:space="preserve">0 - Vastaus puuttuu </v>
      </c>
      <c r="P43" s="1017" t="str">
        <f>IF(VLOOKUP($C$3&amp;"-"&amp;$D43,Import!$C:$H,3,FALSE)=0,"",VLOOKUP($C$3&amp;"-"&amp;$D43,Import!$C:$H,3,FALSE))</f>
        <v/>
      </c>
      <c r="Q43" s="1017" t="str">
        <f>IF(VLOOKUP($C$3&amp;"-"&amp;$D43,Import!$C:$H,4,FALSE)=0,"",VLOOKUP($C$3&amp;"-"&amp;$D43,Import!$C:$H,4,FALSE))</f>
        <v/>
      </c>
      <c r="R43" s="1017" t="str">
        <f>IF(VLOOKUP($C$3&amp;"-"&amp;$D43,Import!$C:$H,5,FALSE)=0,"",VLOOKUP($C$3&amp;"-"&amp;$D43,Import!$C:$H,5,FALSE))</f>
        <v/>
      </c>
      <c r="S43" s="1018" t="str">
        <f>IF(VLOOKUP($C$3&amp;"-"&amp;$D43,Import!$C:$H,6,FALSE)=0,"",VLOOKUP($C$3&amp;"-"&amp;$D43,Import!$C:$H,6,FALSE))</f>
        <v/>
      </c>
      <c r="T43" s="192"/>
      <c r="U43" s="138"/>
      <c r="V43" s="282"/>
    </row>
    <row r="44" spans="1:22" s="300" customFormat="1" ht="45" customHeight="1" x14ac:dyDescent="0.25">
      <c r="A44" s="309"/>
      <c r="B44" s="390"/>
      <c r="C44" s="1228"/>
      <c r="D44" s="298" t="s">
        <v>175</v>
      </c>
      <c r="E44" s="508" t="str">
        <f>IF(VLOOKUP(CONCATENATE($C$3,"-",$D44),Languages!$A:$D,1,TRUE)=CONCATENATE($C$3,"-",$D44),VLOOKUP(CONCATENATE($C$3,"-",$D44),Languages!$A:$D,Summary!$C$7,TRUE),NA())</f>
        <v>Rekisteriä käytetään kyberriskien tunnistamiseen (esimerkiksi tunnistamaan sellaisia riskejä, jotka liittyvät tiedon luvattomaan julkistamiseen, tuhoamiseen tai peukalointiin).</v>
      </c>
      <c r="F44" s="291">
        <f t="shared" si="1"/>
        <v>0</v>
      </c>
      <c r="G44" s="311"/>
      <c r="H44" s="483"/>
      <c r="I44" s="483"/>
      <c r="J44" s="483"/>
      <c r="K44" s="492"/>
      <c r="L44" s="192"/>
      <c r="M44" s="138"/>
      <c r="N44" s="160"/>
      <c r="O44" s="991" t="str">
        <f>VLOOKUP(VLOOKUP($C$3&amp;"-"&amp;$D44,Import!$C:$D,2,FALSE),Parameters!$C$18:$F$22,Summary!$C$7,FALSE)</f>
        <v xml:space="preserve">0 - Vastaus puuttuu </v>
      </c>
      <c r="P44" s="1017" t="str">
        <f>IF(VLOOKUP($C$3&amp;"-"&amp;$D44,Import!$C:$H,3,FALSE)=0,"",VLOOKUP($C$3&amp;"-"&amp;$D44,Import!$C:$H,3,FALSE))</f>
        <v/>
      </c>
      <c r="Q44" s="1017" t="str">
        <f>IF(VLOOKUP($C$3&amp;"-"&amp;$D44,Import!$C:$H,4,FALSE)=0,"",VLOOKUP($C$3&amp;"-"&amp;$D44,Import!$C:$H,4,FALSE))</f>
        <v/>
      </c>
      <c r="R44" s="1017" t="str">
        <f>IF(VLOOKUP($C$3&amp;"-"&amp;$D44,Import!$C:$H,5,FALSE)=0,"",VLOOKUP($C$3&amp;"-"&amp;$D44,Import!$C:$H,5,FALSE))</f>
        <v/>
      </c>
      <c r="S44" s="1018" t="str">
        <f>IF(VLOOKUP($C$3&amp;"-"&amp;$D44,Import!$C:$H,6,FALSE)=0,"",VLOOKUP($C$3&amp;"-"&amp;$D44,Import!$C:$H,6,FALSE))</f>
        <v/>
      </c>
      <c r="T44" s="192"/>
      <c r="U44" s="138"/>
      <c r="V44" s="282"/>
    </row>
    <row r="45" spans="1:22" s="300" customFormat="1" ht="45" customHeight="1" x14ac:dyDescent="0.25">
      <c r="A45" s="309"/>
      <c r="B45" s="390"/>
      <c r="C45" s="1227"/>
      <c r="D45" s="407" t="s">
        <v>206</v>
      </c>
      <c r="E45" s="514" t="str">
        <f>IF(VLOOKUP(CONCATENATE($C$3,"-",$D45),Languages!$A:$D,1,TRUE)=CONCATENATE($C$3,"-",$D45),VLOOKUP(CONCATENATE($C$3,"-",$D45),Languages!$A:$D,Summary!$C$7,TRUE),NA())</f>
        <v>Tietovarannot (kuten asiakastiedot tai laitteiden ja ohjelmistojen perusasetukset) tuhotaan tai poistetaan soveltuvin keinoin, kun tiedolle määritelty enimmäiskäyttö- tai tallennusaika on päättynyt.</v>
      </c>
      <c r="F45" s="403">
        <f t="shared" si="1"/>
        <v>0</v>
      </c>
      <c r="G45" s="489"/>
      <c r="H45" s="484"/>
      <c r="I45" s="484"/>
      <c r="J45" s="484"/>
      <c r="K45" s="493"/>
      <c r="L45" s="192"/>
      <c r="M45" s="138"/>
      <c r="N45" s="160"/>
      <c r="O45" s="996" t="str">
        <f>VLOOKUP(VLOOKUP($C$3&amp;"-"&amp;$D45,Import!$C:$D,2,FALSE),Parameters!$C$18:$F$22,Summary!$C$7,FALSE)</f>
        <v xml:space="preserve">0 - Vastaus puuttuu </v>
      </c>
      <c r="P45" s="1024" t="str">
        <f>IF(VLOOKUP($C$3&amp;"-"&amp;$D45,Import!$C:$H,3,FALSE)=0,"",VLOOKUP($C$3&amp;"-"&amp;$D45,Import!$C:$H,3,FALSE))</f>
        <v/>
      </c>
      <c r="Q45" s="1024" t="str">
        <f>IF(VLOOKUP($C$3&amp;"-"&amp;$D45,Import!$C:$H,4,FALSE)=0,"",VLOOKUP($C$3&amp;"-"&amp;$D45,Import!$C:$H,4,FALSE))</f>
        <v/>
      </c>
      <c r="R45" s="1024" t="str">
        <f>IF(VLOOKUP($C$3&amp;"-"&amp;$D45,Import!$C:$H,5,FALSE)=0,"",VLOOKUP($C$3&amp;"-"&amp;$D45,Import!$C:$H,5,FALSE))</f>
        <v/>
      </c>
      <c r="S45" s="1025" t="str">
        <f>IF(VLOOKUP($C$3&amp;"-"&amp;$D45,Import!$C:$H,6,FALSE)=0,"",VLOOKUP($C$3&amp;"-"&amp;$D45,Import!$C:$H,6,FALSE))</f>
        <v/>
      </c>
      <c r="T45" s="192"/>
      <c r="U45" s="138"/>
      <c r="V45" s="282"/>
    </row>
    <row r="46" spans="1:22" s="180" customFormat="1" ht="30" customHeight="1" x14ac:dyDescent="0.25">
      <c r="A46" s="169"/>
      <c r="B46" s="273"/>
      <c r="C46" s="173">
        <v>3</v>
      </c>
      <c r="D46" s="173" t="str">
        <f>IF(VLOOKUP(CONCATENATE($C$3,"-",C46),Languages!$A:$D,1,TRUE)=CONCATENATE($C$3,"-",C46),VLOOKUP(CONCATENATE($C$3,"-",C46),Languages!$A:$D,Summary!$C$7,TRUE),NA())</f>
        <v>Konfiguraation hallinta</v>
      </c>
      <c r="E46" s="173"/>
      <c r="F46" s="297"/>
      <c r="G46" s="1006"/>
      <c r="H46" s="1030"/>
      <c r="I46" s="1030"/>
      <c r="J46" s="1030"/>
      <c r="K46" s="1030"/>
      <c r="L46" s="192"/>
      <c r="M46" s="138"/>
      <c r="N46" s="160"/>
      <c r="O46" s="296"/>
      <c r="P46" s="297"/>
      <c r="Q46" s="297"/>
      <c r="R46" s="297"/>
      <c r="S46" s="297"/>
      <c r="T46" s="192"/>
      <c r="U46" s="138"/>
      <c r="V46" s="282"/>
    </row>
    <row r="47" spans="1:22" s="289" customFormat="1" ht="19.95" customHeight="1" x14ac:dyDescent="0.2">
      <c r="A47" s="308"/>
      <c r="B47" s="283"/>
      <c r="C47" s="284" t="str">
        <f>IF(VLOOKUP("GEN-LEVEL",Languages!$A:$D,1,TRUE)="GEN-LEVEL",VLOOKUP("GEN-LEVEL",Languages!$A:$D,Summary!$C$7,TRUE),NA())</f>
        <v>Taso</v>
      </c>
      <c r="D47" s="284"/>
      <c r="E47" s="285" t="str">
        <f>IF(VLOOKUP("GEN-PRACTICE",Languages!$A:$D,1,TRUE)="GEN-PRACTICE",VLOOKUP("GEN-PRACTICE",Languages!$A:$D,Summary!$C$7,TRUE),NA())</f>
        <v>Käytäntö</v>
      </c>
      <c r="F47" s="286"/>
      <c r="G47" s="1003" t="str">
        <f>IF(VLOOKUP("GEN-ANSWER",Languages!$A:$D,1,TRUE)="GEN-ANSWER",VLOOKUP("GEN-ANSWER",Languages!$A:$D,Summary!$C$7,TRUE),NA())</f>
        <v>Vastaus</v>
      </c>
      <c r="H47" s="1004" t="str">
        <f>IF(VLOOKUP("KM112",Languages!$A:$D,1,TRUE)="KM112",VLOOKUP("KM112",Languages!$A:$D,Summary!$C$7,TRUE),NA())</f>
        <v>Kommentit</v>
      </c>
      <c r="I47" s="1004" t="str">
        <f>IF(VLOOKUP("KM113",Languages!$A:$D,1,TRUE)="KM113",VLOOKUP("KM113",Languages!$A:$D,Summary!$C$7,TRUE),NA())</f>
        <v>Sisäinen viittaus</v>
      </c>
      <c r="J47" s="1004" t="str">
        <f>IF(VLOOKUP("KM114",Languages!$A:$D,1,TRUE)="KM114",VLOOKUP("KM114",Languages!$A:$D,Summary!$C$7,TRUE),NA())</f>
        <v>Ulkoinen viittaus</v>
      </c>
      <c r="K47" s="1004" t="str">
        <f>IF(VLOOKUP("KM115",Languages!$A:$D,1,TRUE)="KM115",VLOOKUP("KM115",Languages!$A:$D,Summary!$C$7,TRUE),NA())</f>
        <v>Kehityskohde</v>
      </c>
      <c r="L47" s="287"/>
      <c r="M47" s="288"/>
      <c r="N47" s="283"/>
      <c r="O47" s="503" t="str">
        <f>IF(VLOOKUP("GEN-ANSWER",Languages!$A:$D,1,TRUE)="GEN-ANSWER",VLOOKUP("GEN-ANSWER",Languages!$A:$D,Summary!$C$7,TRUE),NA())</f>
        <v>Vastaus</v>
      </c>
      <c r="P47" s="503" t="str">
        <f>IF(VLOOKUP("KM112",Languages!$A:$D,1,TRUE)="KM112",VLOOKUP("KM112",Languages!$A:$D,Summary!$C$7,TRUE),NA())</f>
        <v>Kommentit</v>
      </c>
      <c r="Q47" s="503" t="str">
        <f>IF(VLOOKUP("KM113",Languages!$A:$D,1,TRUE)="KM113",VLOOKUP("KM113",Languages!$A:$D,Summary!$C$7,TRUE),NA())</f>
        <v>Sisäinen viittaus</v>
      </c>
      <c r="R47" s="503" t="str">
        <f>IF(VLOOKUP("KM114",Languages!$A:$D,1,TRUE)="KM114",VLOOKUP("KM114",Languages!$A:$D,Summary!$C$7,TRUE),NA())</f>
        <v>Ulkoinen viittaus</v>
      </c>
      <c r="S47" s="503" t="str">
        <f>IF(VLOOKUP("KM115",Languages!$A:$D,1,TRUE)="KM115",VLOOKUP("KM115",Languages!$A:$D,Summary!$C$7,TRUE),NA())</f>
        <v>Kehityskohde</v>
      </c>
      <c r="T47" s="287"/>
      <c r="U47" s="288"/>
    </row>
    <row r="48" spans="1:22" s="300" customFormat="1" ht="45" customHeight="1" x14ac:dyDescent="0.25">
      <c r="A48" s="309"/>
      <c r="B48" s="1213"/>
      <c r="C48" s="568">
        <v>1</v>
      </c>
      <c r="D48" s="410" t="s">
        <v>22</v>
      </c>
      <c r="E48" s="506" t="str">
        <f>IF(VLOOKUP(CONCATENATE($C$3,"-",$D48),Languages!$A:$D,1,TRUE)=CONCATENATE($C$3,"-",$D48),VLOOKUP(CONCATENATE($C$3,"-",$D48),Languages!$A:$D,Summary!$C$7,TRUE),NA())</f>
        <v>Laitteiden, ohjelmistojen ja tietovarantojen konfiguraatioista on luotu vakioidut perusasetukset. Tasolla 1 tämän ei tarvitse olla systemaattista ja säännöllistä.</v>
      </c>
      <c r="F48" s="401">
        <f t="shared" ref="F48:F53" si="2">IFERROR(INT(LEFT($G48,1)),0)</f>
        <v>0</v>
      </c>
      <c r="G48" s="496"/>
      <c r="H48" s="526"/>
      <c r="I48" s="526"/>
      <c r="J48" s="526"/>
      <c r="K48" s="527"/>
      <c r="L48" s="192"/>
      <c r="M48" s="138"/>
      <c r="N48" s="160"/>
      <c r="O48" s="985" t="str">
        <f>VLOOKUP(VLOOKUP($C$3&amp;"-"&amp;$D48,Import!$C:$D,2,FALSE),Parameters!$C$18:$F$22,Summary!$C$7,FALSE)</f>
        <v xml:space="preserve">0 - Vastaus puuttuu </v>
      </c>
      <c r="P48" s="1010" t="str">
        <f>IF(VLOOKUP($C$3&amp;"-"&amp;$D48,Import!$C:$H,3,FALSE)=0,"",VLOOKUP($C$3&amp;"-"&amp;$D48,Import!$C:$H,3,FALSE))</f>
        <v/>
      </c>
      <c r="Q48" s="1010" t="str">
        <f>IF(VLOOKUP($C$3&amp;"-"&amp;$D48,Import!$C:$H,4,FALSE)=0,"",VLOOKUP($C$3&amp;"-"&amp;$D48,Import!$C:$H,4,FALSE))</f>
        <v/>
      </c>
      <c r="R48" s="1010" t="str">
        <f>IF(VLOOKUP($C$3&amp;"-"&amp;$D48,Import!$C:$H,5,FALSE)=0,"",VLOOKUP($C$3&amp;"-"&amp;$D48,Import!$C:$H,5,FALSE))</f>
        <v/>
      </c>
      <c r="S48" s="1011" t="str">
        <f>IF(VLOOKUP($C$3&amp;"-"&amp;$D48,Import!$C:$H,6,FALSE)=0,"",VLOOKUP($C$3&amp;"-"&amp;$D48,Import!$C:$H,6,FALSE))</f>
        <v/>
      </c>
      <c r="T48" s="192"/>
      <c r="U48" s="138"/>
      <c r="V48" s="282"/>
    </row>
    <row r="49" spans="1:22" s="300" customFormat="1" ht="45" customHeight="1" x14ac:dyDescent="0.25">
      <c r="A49" s="309"/>
      <c r="B49" s="1213"/>
      <c r="C49" s="570">
        <v>2</v>
      </c>
      <c r="D49" s="410" t="s">
        <v>23</v>
      </c>
      <c r="E49" s="506" t="str">
        <f>IF(VLOOKUP(CONCATENATE($C$3,"-",$D49),Languages!$A:$D,1,TRUE)=CONCATENATE($C$3,"-",$D49),VLOOKUP(CONCATENATE($C$3,"-",$D49),Languages!$A:$D,Summary!$C$7,TRUE),NA())</f>
        <v>Vakioituja perusasetuksia käytetään, kun laitteille, ohjelmistoille tai tietovarannoille luodaan uusi konfiguraatio tai palautetaan vanha konfiguraatio.</v>
      </c>
      <c r="F49" s="401">
        <f t="shared" si="2"/>
        <v>0</v>
      </c>
      <c r="G49" s="496"/>
      <c r="H49" s="494"/>
      <c r="I49" s="494"/>
      <c r="J49" s="494"/>
      <c r="K49" s="495"/>
      <c r="L49" s="192"/>
      <c r="M49" s="138"/>
      <c r="N49" s="160"/>
      <c r="O49" s="985" t="str">
        <f>VLOOKUP(VLOOKUP($C$3&amp;"-"&amp;$D49,Import!$C:$D,2,FALSE),Parameters!$C$18:$F$22,Summary!$C$7,FALSE)</f>
        <v xml:space="preserve">0 - Vastaus puuttuu </v>
      </c>
      <c r="P49" s="1026" t="str">
        <f>IF(VLOOKUP($C$3&amp;"-"&amp;$D49,Import!$C:$H,3,FALSE)=0,"",VLOOKUP($C$3&amp;"-"&amp;$D49,Import!$C:$H,3,FALSE))</f>
        <v/>
      </c>
      <c r="Q49" s="1026" t="str">
        <f>IF(VLOOKUP($C$3&amp;"-"&amp;$D49,Import!$C:$H,4,FALSE)=0,"",VLOOKUP($C$3&amp;"-"&amp;$D49,Import!$C:$H,4,FALSE))</f>
        <v/>
      </c>
      <c r="R49" s="1026" t="str">
        <f>IF(VLOOKUP($C$3&amp;"-"&amp;$D49,Import!$C:$H,5,FALSE)=0,"",VLOOKUP($C$3&amp;"-"&amp;$D49,Import!$C:$H,5,FALSE))</f>
        <v/>
      </c>
      <c r="S49" s="1027" t="str">
        <f>IF(VLOOKUP($C$3&amp;"-"&amp;$D49,Import!$C:$H,6,FALSE)=0,"",VLOOKUP($C$3&amp;"-"&amp;$D49,Import!$C:$H,6,FALSE))</f>
        <v/>
      </c>
      <c r="T49" s="192"/>
      <c r="U49" s="138"/>
      <c r="V49" s="282"/>
    </row>
    <row r="50" spans="1:22" s="300" customFormat="1" ht="34.950000000000003" customHeight="1" x14ac:dyDescent="0.25">
      <c r="A50" s="309"/>
      <c r="B50" s="1213"/>
      <c r="C50" s="1226">
        <v>3</v>
      </c>
      <c r="D50" s="406" t="s">
        <v>24</v>
      </c>
      <c r="E50" s="507" t="str">
        <f>IF(VLOOKUP(CONCATENATE($C$3,"-",$D50),Languages!$A:$D,1,TRUE)=CONCATENATE($C$3,"-",$D50),VLOOKUP(CONCATENATE($C$3,"-",$D50),Languages!$A:$D,Summary!$C$7,TRUE),NA())</f>
        <v>Vakioitujen perusasetusten suunnitteluun kuuluu kyberturvallisuustavoitteita.</v>
      </c>
      <c r="F50" s="396">
        <f t="shared" si="2"/>
        <v>0</v>
      </c>
      <c r="G50" s="485"/>
      <c r="H50" s="482"/>
      <c r="I50" s="482"/>
      <c r="J50" s="482"/>
      <c r="K50" s="491"/>
      <c r="L50" s="192"/>
      <c r="M50" s="138"/>
      <c r="N50" s="160"/>
      <c r="O50" s="988" t="str">
        <f>VLOOKUP(VLOOKUP($C$3&amp;"-"&amp;$D50,Import!$C:$D,2,FALSE),Parameters!$C$18:$F$22,Summary!$C$7,FALSE)</f>
        <v xml:space="preserve">0 - Vastaus puuttuu </v>
      </c>
      <c r="P50" s="1022" t="str">
        <f>IF(VLOOKUP($C$3&amp;"-"&amp;$D50,Import!$C:$H,3,FALSE)=0,"",VLOOKUP($C$3&amp;"-"&amp;$D50,Import!$C:$H,3,FALSE))</f>
        <v/>
      </c>
      <c r="Q50" s="1022" t="str">
        <f>IF(VLOOKUP($C$3&amp;"-"&amp;$D50,Import!$C:$H,4,FALSE)=0,"",VLOOKUP($C$3&amp;"-"&amp;$D50,Import!$C:$H,4,FALSE))</f>
        <v/>
      </c>
      <c r="R50" s="1022" t="str">
        <f>IF(VLOOKUP($C$3&amp;"-"&amp;$D50,Import!$C:$H,5,FALSE)=0,"",VLOOKUP($C$3&amp;"-"&amp;$D50,Import!$C:$H,5,FALSE))</f>
        <v/>
      </c>
      <c r="S50" s="1023" t="str">
        <f>IF(VLOOKUP($C$3&amp;"-"&amp;$D50,Import!$C:$H,6,FALSE)=0,"",VLOOKUP($C$3&amp;"-"&amp;$D50,Import!$C:$H,6,FALSE))</f>
        <v/>
      </c>
      <c r="T50" s="192"/>
      <c r="U50" s="138"/>
      <c r="V50" s="282"/>
    </row>
    <row r="51" spans="1:22" s="300" customFormat="1" ht="51" customHeight="1" x14ac:dyDescent="0.25">
      <c r="A51" s="309"/>
      <c r="B51" s="1213"/>
      <c r="C51" s="1228"/>
      <c r="D51" s="298" t="s">
        <v>25</v>
      </c>
      <c r="E51" s="508" t="str">
        <f>IF(VLOOKUP(CONCATENATE($C$3,"-",$D51),Languages!$A:$D,1,TRUE)=CONCATENATE($C$3,"-",$D51),VLOOKUP(CONCATENATE($C$3,"-",$D51),Languages!$A:$D,Summary!$C$7,TRUE),NA())</f>
        <v>Vakioitujen perusasetusten määrittelyyn kuuluu soveltuvia vaatimuksia organisaation kyberarkkitehtuurista [kts. ARCHITECTURE-1e].</v>
      </c>
      <c r="F51" s="291">
        <f t="shared" si="2"/>
        <v>0</v>
      </c>
      <c r="G51" s="311"/>
      <c r="H51" s="483"/>
      <c r="I51" s="483"/>
      <c r="J51" s="483"/>
      <c r="K51" s="492"/>
      <c r="L51" s="192"/>
      <c r="M51" s="138"/>
      <c r="N51" s="160"/>
      <c r="O51" s="991" t="str">
        <f>VLOOKUP(VLOOKUP($C$3&amp;"-"&amp;$D51,Import!$C:$D,2,FALSE),Parameters!$C$18:$F$22,Summary!$C$7,FALSE)</f>
        <v xml:space="preserve">0 - Vastaus puuttuu </v>
      </c>
      <c r="P51" s="1017" t="str">
        <f>IF(VLOOKUP($C$3&amp;"-"&amp;$D51,Import!$C:$H,3,FALSE)=0,"",VLOOKUP($C$3&amp;"-"&amp;$D51,Import!$C:$H,3,FALSE))</f>
        <v/>
      </c>
      <c r="Q51" s="1017" t="str">
        <f>IF(VLOOKUP($C$3&amp;"-"&amp;$D51,Import!$C:$H,4,FALSE)=0,"",VLOOKUP($C$3&amp;"-"&amp;$D51,Import!$C:$H,4,FALSE))</f>
        <v/>
      </c>
      <c r="R51" s="1017" t="str">
        <f>IF(VLOOKUP($C$3&amp;"-"&amp;$D51,Import!$C:$H,5,FALSE)=0,"",VLOOKUP($C$3&amp;"-"&amp;$D51,Import!$C:$H,5,FALSE))</f>
        <v/>
      </c>
      <c r="S51" s="1018" t="str">
        <f>IF(VLOOKUP($C$3&amp;"-"&amp;$D51,Import!$C:$H,6,FALSE)=0,"",VLOOKUP($C$3&amp;"-"&amp;$D51,Import!$C:$H,6,FALSE))</f>
        <v/>
      </c>
      <c r="T51" s="192"/>
      <c r="U51" s="138"/>
      <c r="V51" s="282"/>
    </row>
    <row r="52" spans="1:22" s="300" customFormat="1" ht="45" customHeight="1" x14ac:dyDescent="0.25">
      <c r="A52" s="309"/>
      <c r="B52" s="1213"/>
      <c r="C52" s="1228"/>
      <c r="D52" s="298" t="s">
        <v>26</v>
      </c>
      <c r="E52" s="508" t="str">
        <f>IF(VLOOKUP(CONCATENATE($C$3,"-",$D52),Languages!$A:$D,1,TRUE)=CONCATENATE($C$3,"-",$D52),VLOOKUP(CONCATENATE($C$3,"-",$D52),Languages!$A:$D,Summary!$C$7,TRUE),NA())</f>
        <v>Konfiguraatioiden yhdenmukaisuutta vakioituihin perusasetuksiin seurataan säännöllisesti koko laitteen, ohjelmiston tai tietovarannon elinkaaren ajan.</v>
      </c>
      <c r="F52" s="291">
        <f t="shared" si="2"/>
        <v>0</v>
      </c>
      <c r="G52" s="311"/>
      <c r="H52" s="483"/>
      <c r="I52" s="483"/>
      <c r="J52" s="483"/>
      <c r="K52" s="492"/>
      <c r="L52" s="192"/>
      <c r="M52" s="138"/>
      <c r="N52" s="160"/>
      <c r="O52" s="991" t="str">
        <f>VLOOKUP(VLOOKUP($C$3&amp;"-"&amp;$D52,Import!$C:$D,2,FALSE),Parameters!$C$18:$F$22,Summary!$C$7,FALSE)</f>
        <v xml:space="preserve">0 - Vastaus puuttuu </v>
      </c>
      <c r="P52" s="1017" t="str">
        <f>IF(VLOOKUP($C$3&amp;"-"&amp;$D52,Import!$C:$H,3,FALSE)=0,"",VLOOKUP($C$3&amp;"-"&amp;$D52,Import!$C:$H,3,FALSE))</f>
        <v/>
      </c>
      <c r="Q52" s="1017" t="str">
        <f>IF(VLOOKUP($C$3&amp;"-"&amp;$D52,Import!$C:$H,4,FALSE)=0,"",VLOOKUP($C$3&amp;"-"&amp;$D52,Import!$C:$H,4,FALSE))</f>
        <v/>
      </c>
      <c r="R52" s="1017" t="str">
        <f>IF(VLOOKUP($C$3&amp;"-"&amp;$D52,Import!$C:$H,5,FALSE)=0,"",VLOOKUP($C$3&amp;"-"&amp;$D52,Import!$C:$H,5,FALSE))</f>
        <v/>
      </c>
      <c r="S52" s="1018" t="str">
        <f>IF(VLOOKUP($C$3&amp;"-"&amp;$D52,Import!$C:$H,6,FALSE)=0,"",VLOOKUP($C$3&amp;"-"&amp;$D52,Import!$C:$H,6,FALSE))</f>
        <v/>
      </c>
      <c r="T52" s="192"/>
      <c r="U52" s="138"/>
      <c r="V52" s="282"/>
    </row>
    <row r="53" spans="1:22" s="300" customFormat="1" ht="45" customHeight="1" x14ac:dyDescent="0.25">
      <c r="A53" s="309"/>
      <c r="B53" s="1213"/>
      <c r="C53" s="1227"/>
      <c r="D53" s="407" t="s">
        <v>27</v>
      </c>
      <c r="E53" s="514" t="str">
        <f>IF(VLOOKUP(CONCATENATE($C$3,"-",$D53),Languages!$A:$D,1,TRUE)=CONCATENATE($C$3,"-",$D53),VLOOKUP(CONCATENATE($C$3,"-",$D53),Languages!$A:$D,Summary!$C$7,TRUE),NA())</f>
        <v>Vakioidut perusasetukset tarkastetaan ja päivitetään aika ajoin ja määriteltyjen tilanteiden kuten järjestelmämuutosten yhteydessä tai organisaation kyberarkkitehtuurin muuttuessa.</v>
      </c>
      <c r="F53" s="403">
        <f t="shared" si="2"/>
        <v>0</v>
      </c>
      <c r="G53" s="489"/>
      <c r="H53" s="484"/>
      <c r="I53" s="484"/>
      <c r="J53" s="484"/>
      <c r="K53" s="493"/>
      <c r="L53" s="192"/>
      <c r="M53" s="138"/>
      <c r="N53" s="160"/>
      <c r="O53" s="996" t="str">
        <f>VLOOKUP(VLOOKUP($C$3&amp;"-"&amp;$D53,Import!$C:$D,2,FALSE),Parameters!$C$18:$F$22,Summary!$C$7,FALSE)</f>
        <v xml:space="preserve">0 - Vastaus puuttuu </v>
      </c>
      <c r="P53" s="1024" t="str">
        <f>IF(VLOOKUP($C$3&amp;"-"&amp;$D53,Import!$C:$H,3,FALSE)=0,"",VLOOKUP($C$3&amp;"-"&amp;$D53,Import!$C:$H,3,FALSE))</f>
        <v/>
      </c>
      <c r="Q53" s="1024" t="str">
        <f>IF(VLOOKUP($C$3&amp;"-"&amp;$D53,Import!$C:$H,4,FALSE)=0,"",VLOOKUP($C$3&amp;"-"&amp;$D53,Import!$C:$H,4,FALSE))</f>
        <v/>
      </c>
      <c r="R53" s="1024" t="str">
        <f>IF(VLOOKUP($C$3&amp;"-"&amp;$D53,Import!$C:$H,5,FALSE)=0,"",VLOOKUP($C$3&amp;"-"&amp;$D53,Import!$C:$H,5,FALSE))</f>
        <v/>
      </c>
      <c r="S53" s="1025" t="str">
        <f>IF(VLOOKUP($C$3&amp;"-"&amp;$D53,Import!$C:$H,6,FALSE)=0,"",VLOOKUP($C$3&amp;"-"&amp;$D53,Import!$C:$H,6,FALSE))</f>
        <v/>
      </c>
      <c r="T53" s="192"/>
      <c r="U53" s="138"/>
      <c r="V53" s="282"/>
    </row>
    <row r="54" spans="1:22" s="180" customFormat="1" ht="30" customHeight="1" x14ac:dyDescent="0.25">
      <c r="A54" s="169"/>
      <c r="B54" s="273"/>
      <c r="C54" s="173">
        <v>4</v>
      </c>
      <c r="D54" s="173" t="str">
        <f>IF(VLOOKUP(CONCATENATE($C$3,"-",C54),Languages!$A:$D,1,TRUE)=CONCATENATE($C$3,"-",C54),VLOOKUP(CONCATENATE($C$3,"-",C54),Languages!$A:$D,Summary!$C$7,TRUE),NA())</f>
        <v>Muutoksenhallinta</v>
      </c>
      <c r="E54" s="173"/>
      <c r="F54" s="297"/>
      <c r="G54" s="1006"/>
      <c r="H54" s="1030"/>
      <c r="I54" s="1030"/>
      <c r="J54" s="1030"/>
      <c r="K54" s="1030"/>
      <c r="L54" s="192"/>
      <c r="M54" s="138"/>
      <c r="N54" s="160"/>
      <c r="O54" s="296"/>
      <c r="P54" s="297"/>
      <c r="Q54" s="297"/>
      <c r="R54" s="297"/>
      <c r="S54" s="297"/>
      <c r="T54" s="192"/>
      <c r="U54" s="138"/>
      <c r="V54" s="282"/>
    </row>
    <row r="55" spans="1:22" s="289" customFormat="1" ht="19.95" customHeight="1" x14ac:dyDescent="0.2">
      <c r="A55" s="308"/>
      <c r="B55" s="283"/>
      <c r="C55" s="284" t="str">
        <f>IF(VLOOKUP("GEN-LEVEL",Languages!$A:$D,1,TRUE)="GEN-LEVEL",VLOOKUP("GEN-LEVEL",Languages!$A:$D,Summary!$C$7,TRUE),NA())</f>
        <v>Taso</v>
      </c>
      <c r="D55" s="284"/>
      <c r="E55" s="285" t="str">
        <f>IF(VLOOKUP("GEN-PRACTICE",Languages!$A:$D,1,TRUE)="GEN-PRACTICE",VLOOKUP("GEN-PRACTICE",Languages!$A:$D,Summary!$C$7,TRUE),NA())</f>
        <v>Käytäntö</v>
      </c>
      <c r="F55" s="286"/>
      <c r="G55" s="1003" t="str">
        <f>IF(VLOOKUP("GEN-ANSWER",Languages!$A:$D,1,TRUE)="GEN-ANSWER",VLOOKUP("GEN-ANSWER",Languages!$A:$D,Summary!$C$7,TRUE),NA())</f>
        <v>Vastaus</v>
      </c>
      <c r="H55" s="1004" t="str">
        <f>IF(VLOOKUP("KM112",Languages!$A:$D,1,TRUE)="KM112",VLOOKUP("KM112",Languages!$A:$D,Summary!$C$7,TRUE),NA())</f>
        <v>Kommentit</v>
      </c>
      <c r="I55" s="1004" t="str">
        <f>IF(VLOOKUP("KM113",Languages!$A:$D,1,TRUE)="KM113",VLOOKUP("KM113",Languages!$A:$D,Summary!$C$7,TRUE),NA())</f>
        <v>Sisäinen viittaus</v>
      </c>
      <c r="J55" s="1004" t="str">
        <f>IF(VLOOKUP("KM114",Languages!$A:$D,1,TRUE)="KM114",VLOOKUP("KM114",Languages!$A:$D,Summary!$C$7,TRUE),NA())</f>
        <v>Ulkoinen viittaus</v>
      </c>
      <c r="K55" s="1004" t="str">
        <f>IF(VLOOKUP("KM115",Languages!$A:$D,1,TRUE)="KM115",VLOOKUP("KM115",Languages!$A:$D,Summary!$C$7,TRUE),NA())</f>
        <v>Kehityskohde</v>
      </c>
      <c r="L55" s="287"/>
      <c r="M55" s="288"/>
      <c r="N55" s="283"/>
      <c r="O55" s="503" t="str">
        <f>IF(VLOOKUP("GEN-ANSWER",Languages!$A:$D,1,TRUE)="GEN-ANSWER",VLOOKUP("GEN-ANSWER",Languages!$A:$D,Summary!$C$7,TRUE),NA())</f>
        <v>Vastaus</v>
      </c>
      <c r="P55" s="503" t="str">
        <f>IF(VLOOKUP("KM112",Languages!$A:$D,1,TRUE)="KM112",VLOOKUP("KM112",Languages!$A:$D,Summary!$C$7,TRUE),NA())</f>
        <v>Kommentit</v>
      </c>
      <c r="Q55" s="503" t="str">
        <f>IF(VLOOKUP("KM113",Languages!$A:$D,1,TRUE)="KM113",VLOOKUP("KM113",Languages!$A:$D,Summary!$C$7,TRUE),NA())</f>
        <v>Sisäinen viittaus</v>
      </c>
      <c r="R55" s="503" t="str">
        <f>IF(VLOOKUP("KM114",Languages!$A:$D,1,TRUE)="KM114",VLOOKUP("KM114",Languages!$A:$D,Summary!$C$7,TRUE),NA())</f>
        <v>Ulkoinen viittaus</v>
      </c>
      <c r="S55" s="503" t="str">
        <f>IF(VLOOKUP("KM115",Languages!$A:$D,1,TRUE)="KM115",VLOOKUP("KM115",Languages!$A:$D,Summary!$C$7,TRUE),NA())</f>
        <v>Kehityskohde</v>
      </c>
      <c r="T55" s="287"/>
      <c r="U55" s="288"/>
    </row>
    <row r="56" spans="1:22" s="300" customFormat="1" ht="60.6" customHeight="1" x14ac:dyDescent="0.25">
      <c r="A56" s="309"/>
      <c r="B56" s="1213"/>
      <c r="C56" s="1229">
        <v>1</v>
      </c>
      <c r="D56" s="406" t="s">
        <v>123</v>
      </c>
      <c r="E56" s="507" t="str">
        <f>IF(VLOOKUP(CONCATENATE($C$3,"-",$D56),Languages!$A:$D,1,TRUE)=CONCATENATE($C$3,"-",$D56),VLOOKUP(CONCATENATE($C$3,"-",$D56),Languages!$A:$D,Summary!$C$7,TRUE),NA())</f>
        <v>Rekistereihin kirjattuihin laitteisiin, ohjelmistoihin ja tietovarantoihin tehtävät muutokset arvioidaan ja hyväksytetään ennen niiden toteuttamista. Tasolla 1 tämän ei tarvitse olla systemaattista ja säännöllistä.</v>
      </c>
      <c r="F56" s="396">
        <f t="shared" ref="F56:F61" si="3">IFERROR(INT(LEFT($G56,1)),0)</f>
        <v>0</v>
      </c>
      <c r="G56" s="485"/>
      <c r="H56" s="486"/>
      <c r="I56" s="486"/>
      <c r="J56" s="486"/>
      <c r="K56" s="487"/>
      <c r="L56" s="192"/>
      <c r="M56" s="138"/>
      <c r="N56" s="160"/>
      <c r="O56" s="988" t="str">
        <f>VLOOKUP(VLOOKUP($C$3&amp;"-"&amp;$D56,Import!$C:$D,2,FALSE),Parameters!$C$18:$F$22,Summary!$C$7,FALSE)</f>
        <v xml:space="preserve">0 - Vastaus puuttuu </v>
      </c>
      <c r="P56" s="1032" t="str">
        <f>IF(VLOOKUP($C$3&amp;"-"&amp;$D56,Import!$C:$H,3,FALSE)=0,"",VLOOKUP($C$3&amp;"-"&amp;$D56,Import!$C:$H,3,FALSE))</f>
        <v/>
      </c>
      <c r="Q56" s="1032" t="str">
        <f>IF(VLOOKUP($C$3&amp;"-"&amp;$D56,Import!$C:$H,4,FALSE)=0,"",VLOOKUP($C$3&amp;"-"&amp;$D56,Import!$C:$H,4,FALSE))</f>
        <v/>
      </c>
      <c r="R56" s="1032" t="str">
        <f>IF(VLOOKUP($C$3&amp;"-"&amp;$D56,Import!$C:$H,5,FALSE)=0,"",VLOOKUP($C$3&amp;"-"&amp;$D56,Import!$C:$H,5,FALSE))</f>
        <v/>
      </c>
      <c r="S56" s="1033" t="str">
        <f>IF(VLOOKUP($C$3&amp;"-"&amp;$D56,Import!$C:$H,6,FALSE)=0,"",VLOOKUP($C$3&amp;"-"&amp;$D56,Import!$C:$H,6,FALSE))</f>
        <v/>
      </c>
      <c r="T56" s="192"/>
      <c r="U56" s="138"/>
      <c r="V56" s="282"/>
    </row>
    <row r="57" spans="1:22" s="300" customFormat="1" ht="45" customHeight="1" x14ac:dyDescent="0.25">
      <c r="A57" s="309"/>
      <c r="B57" s="1213"/>
      <c r="C57" s="1230"/>
      <c r="D57" s="407" t="s">
        <v>126</v>
      </c>
      <c r="E57" s="514" t="str">
        <f>IF(VLOOKUP(CONCATENATE($C$3,"-",$D57),Languages!$A:$D,1,TRUE)=CONCATENATE($C$3,"-",$D57),VLOOKUP(CONCATENATE($C$3,"-",$D57),Languages!$A:$D,Summary!$C$7,TRUE),NA())</f>
        <v>Rekistereihin kirjattuihin laitteisiin, ohjelmistoihin ja tietovarantoihin tehtävistä muutoksista pidetään lokia. Tasolla 1 tämän ei tarvitse olla systemaattista ja säännöllistä.</v>
      </c>
      <c r="F57" s="403">
        <f t="shared" si="3"/>
        <v>0</v>
      </c>
      <c r="G57" s="489"/>
      <c r="H57" s="484"/>
      <c r="I57" s="484"/>
      <c r="J57" s="484"/>
      <c r="K57" s="493"/>
      <c r="L57" s="192"/>
      <c r="M57" s="138"/>
      <c r="N57" s="160"/>
      <c r="O57" s="996" t="str">
        <f>VLOOKUP(VLOOKUP($C$3&amp;"-"&amp;$D57,Import!$C:$D,2,FALSE),Parameters!$C$18:$F$22,Summary!$C$7,FALSE)</f>
        <v xml:space="preserve">0 - Vastaus puuttuu </v>
      </c>
      <c r="P57" s="1024" t="str">
        <f>IF(VLOOKUP($C$3&amp;"-"&amp;$D57,Import!$C:$H,3,FALSE)=0,"",VLOOKUP($C$3&amp;"-"&amp;$D57,Import!$C:$H,3,FALSE))</f>
        <v/>
      </c>
      <c r="Q57" s="1024" t="str">
        <f>IF(VLOOKUP($C$3&amp;"-"&amp;$D57,Import!$C:$H,4,FALSE)=0,"",VLOOKUP($C$3&amp;"-"&amp;$D57,Import!$C:$H,4,FALSE))</f>
        <v/>
      </c>
      <c r="R57" s="1024" t="str">
        <f>IF(VLOOKUP($C$3&amp;"-"&amp;$D57,Import!$C:$H,5,FALSE)=0,"",VLOOKUP($C$3&amp;"-"&amp;$D57,Import!$C:$H,5,FALSE))</f>
        <v/>
      </c>
      <c r="S57" s="1025" t="str">
        <f>IF(VLOOKUP($C$3&amp;"-"&amp;$D57,Import!$C:$H,6,FALSE)=0,"",VLOOKUP($C$3&amp;"-"&amp;$D57,Import!$C:$H,6,FALSE))</f>
        <v/>
      </c>
      <c r="T57" s="192"/>
      <c r="U57" s="138"/>
      <c r="V57" s="282"/>
    </row>
    <row r="58" spans="1:22" s="300" customFormat="1" ht="34.950000000000003" customHeight="1" x14ac:dyDescent="0.25">
      <c r="A58" s="309"/>
      <c r="B58" s="1213"/>
      <c r="C58" s="1224">
        <v>2</v>
      </c>
      <c r="D58" s="406" t="s">
        <v>129</v>
      </c>
      <c r="E58" s="507" t="str">
        <f>IF(VLOOKUP(CONCATENATE($C$3,"-",$D58),Languages!$A:$D,1,TRUE)=CONCATENATE($C$3,"-",$D58),VLOOKUP(CONCATENATE($C$3,"-",$D58),Languages!$A:$D,Summary!$C$7,TRUE),NA())</f>
        <v>Laitteisiin, ohjelmistoihin ja tietovarantoihin tehtävät muutokset testataan ennen niiden toteuttamista.</v>
      </c>
      <c r="F58" s="396">
        <f t="shared" si="3"/>
        <v>0</v>
      </c>
      <c r="G58" s="485"/>
      <c r="H58" s="482"/>
      <c r="I58" s="482"/>
      <c r="J58" s="482"/>
      <c r="K58" s="491"/>
      <c r="L58" s="192"/>
      <c r="M58" s="138"/>
      <c r="N58" s="160"/>
      <c r="O58" s="988" t="str">
        <f>VLOOKUP(VLOOKUP($C$3&amp;"-"&amp;$D58,Import!$C:$D,2,FALSE),Parameters!$C$18:$F$22,Summary!$C$7,FALSE)</f>
        <v xml:space="preserve">0 - Vastaus puuttuu </v>
      </c>
      <c r="P58" s="1022" t="str">
        <f>IF(VLOOKUP($C$3&amp;"-"&amp;$D58,Import!$C:$H,3,FALSE)=0,"",VLOOKUP($C$3&amp;"-"&amp;$D58,Import!$C:$H,3,FALSE))</f>
        <v/>
      </c>
      <c r="Q58" s="1022" t="str">
        <f>IF(VLOOKUP($C$3&amp;"-"&amp;$D58,Import!$C:$H,4,FALSE)=0,"",VLOOKUP($C$3&amp;"-"&amp;$D58,Import!$C:$H,4,FALSE))</f>
        <v/>
      </c>
      <c r="R58" s="1022" t="str">
        <f>IF(VLOOKUP($C$3&amp;"-"&amp;$D58,Import!$C:$H,5,FALSE)=0,"",VLOOKUP($C$3&amp;"-"&amp;$D58,Import!$C:$H,5,FALSE))</f>
        <v/>
      </c>
      <c r="S58" s="1023" t="str">
        <f>IF(VLOOKUP($C$3&amp;"-"&amp;$D58,Import!$C:$H,6,FALSE)=0,"",VLOOKUP($C$3&amp;"-"&amp;$D58,Import!$C:$H,6,FALSE))</f>
        <v/>
      </c>
      <c r="T58" s="192"/>
      <c r="U58" s="138"/>
      <c r="V58" s="282"/>
    </row>
    <row r="59" spans="1:22" s="300" customFormat="1" ht="45" customHeight="1" x14ac:dyDescent="0.25">
      <c r="A59" s="309"/>
      <c r="B59" s="1213"/>
      <c r="C59" s="1225"/>
      <c r="D59" s="407" t="s">
        <v>132</v>
      </c>
      <c r="E59" s="514" t="str">
        <f>IF(VLOOKUP(CONCATENATE($C$3,"-",$D59),Languages!$A:$D,1,TRUE)=CONCATENATE($C$3,"-",$D59),VLOOKUP(CONCATENATE($C$3,"-",$D59),Languages!$A:$D,Summary!$C$7,TRUE),NA())</f>
        <v>Muutoksenhallinnan käytännöt kattavat laitteiden, ohjelmistojen ja tiedon koko elinkaaren (esimerkiksi hankinnan, käyttöönoton, käytön ja käytöstä poiston).</v>
      </c>
      <c r="F59" s="403">
        <f t="shared" si="3"/>
        <v>0</v>
      </c>
      <c r="G59" s="489"/>
      <c r="H59" s="484"/>
      <c r="I59" s="484"/>
      <c r="J59" s="484"/>
      <c r="K59" s="493"/>
      <c r="L59" s="192"/>
      <c r="M59" s="138"/>
      <c r="N59" s="160"/>
      <c r="O59" s="996" t="str">
        <f>VLOOKUP(VLOOKUP($C$3&amp;"-"&amp;$D59,Import!$C:$D,2,FALSE),Parameters!$C$18:$F$22,Summary!$C$7,FALSE)</f>
        <v xml:space="preserve">0 - Vastaus puuttuu </v>
      </c>
      <c r="P59" s="1024" t="str">
        <f>IF(VLOOKUP($C$3&amp;"-"&amp;$D59,Import!$C:$H,3,FALSE)=0,"",VLOOKUP($C$3&amp;"-"&amp;$D59,Import!$C:$H,3,FALSE))</f>
        <v/>
      </c>
      <c r="Q59" s="1024" t="str">
        <f>IF(VLOOKUP($C$3&amp;"-"&amp;$D59,Import!$C:$H,4,FALSE)=0,"",VLOOKUP($C$3&amp;"-"&amp;$D59,Import!$C:$H,4,FALSE))</f>
        <v/>
      </c>
      <c r="R59" s="1024" t="str">
        <f>IF(VLOOKUP($C$3&amp;"-"&amp;$D59,Import!$C:$H,5,FALSE)=0,"",VLOOKUP($C$3&amp;"-"&amp;$D59,Import!$C:$H,5,FALSE))</f>
        <v/>
      </c>
      <c r="S59" s="1025" t="str">
        <f>IF(VLOOKUP($C$3&amp;"-"&amp;$D59,Import!$C:$H,6,FALSE)=0,"",VLOOKUP($C$3&amp;"-"&amp;$D59,Import!$C:$H,6,FALSE))</f>
        <v/>
      </c>
      <c r="T59" s="192"/>
      <c r="U59" s="138"/>
      <c r="V59" s="282"/>
    </row>
    <row r="60" spans="1:22" s="300" customFormat="1" ht="34.950000000000003" customHeight="1" x14ac:dyDescent="0.25">
      <c r="A60" s="309"/>
      <c r="B60" s="1213"/>
      <c r="C60" s="1226">
        <v>3</v>
      </c>
      <c r="D60" s="406" t="s">
        <v>135</v>
      </c>
      <c r="E60" s="507" t="str">
        <f>IF(VLOOKUP(CONCATENATE($C$3,"-",$D60),Languages!$A:$D,1,TRUE)=CONCATENATE($C$3,"-",$D60),VLOOKUP(CONCATENATE($C$3,"-",$D60),Languages!$A:$D,Summary!$C$7,TRUE),NA())</f>
        <v>Laitteisiin, ohjelmistoihin ja tietovarantoihin tehtävien muutosten kyberturvallisuusvaikutus testataan ennen niiden toteuttamista.</v>
      </c>
      <c r="F60" s="396">
        <f t="shared" si="3"/>
        <v>0</v>
      </c>
      <c r="G60" s="485"/>
      <c r="H60" s="482"/>
      <c r="I60" s="482"/>
      <c r="J60" s="482"/>
      <c r="K60" s="491"/>
      <c r="L60" s="192"/>
      <c r="M60" s="138"/>
      <c r="N60" s="160"/>
      <c r="O60" s="988" t="str">
        <f>VLOOKUP(VLOOKUP($C$3&amp;"-"&amp;$D60,Import!$C:$D,2,FALSE),Parameters!$C$18:$F$22,Summary!$C$7,FALSE)</f>
        <v xml:space="preserve">0 - Vastaus puuttuu </v>
      </c>
      <c r="P60" s="1022" t="str">
        <f>IF(VLOOKUP($C$3&amp;"-"&amp;$D60,Import!$C:$H,3,FALSE)=0,"",VLOOKUP($C$3&amp;"-"&amp;$D60,Import!$C:$H,3,FALSE))</f>
        <v/>
      </c>
      <c r="Q60" s="1022" t="str">
        <f>IF(VLOOKUP($C$3&amp;"-"&amp;$D60,Import!$C:$H,4,FALSE)=0,"",VLOOKUP($C$3&amp;"-"&amp;$D60,Import!$C:$H,4,FALSE))</f>
        <v/>
      </c>
      <c r="R60" s="1022" t="str">
        <f>IF(VLOOKUP($C$3&amp;"-"&amp;$D60,Import!$C:$H,5,FALSE)=0,"",VLOOKUP($C$3&amp;"-"&amp;$D60,Import!$C:$H,5,FALSE))</f>
        <v/>
      </c>
      <c r="S60" s="1023" t="str">
        <f>IF(VLOOKUP($C$3&amp;"-"&amp;$D60,Import!$C:$H,6,FALSE)=0,"",VLOOKUP($C$3&amp;"-"&amp;$D60,Import!$C:$H,6,FALSE))</f>
        <v/>
      </c>
      <c r="T60" s="192"/>
      <c r="U60" s="138"/>
      <c r="V60" s="282"/>
    </row>
    <row r="61" spans="1:22" s="300" customFormat="1" ht="45" customHeight="1" x14ac:dyDescent="0.25">
      <c r="A61" s="309"/>
      <c r="B61" s="1213"/>
      <c r="C61" s="1227"/>
      <c r="D61" s="407" t="s">
        <v>137</v>
      </c>
      <c r="E61" s="514" t="str">
        <f>IF(VLOOKUP(CONCATENATE($C$3,"-",$D61),Languages!$A:$D,1,TRUE)=CONCATENATE($C$3,"-",$D61),VLOOKUP(CONCATENATE($C$3,"-",$D61),Languages!$A:$D,Summary!$C$7,TRUE),NA())</f>
        <v>Muutoksenhallinnan lokit sisältävät tietoa sellaisista tehdyistä muutoksista, jotka vaikuttavat kyseisen laitteen, ohjelmiston tai tietovarannon kyberturvallisuusvaatimuksiin.</v>
      </c>
      <c r="F61" s="403">
        <f t="shared" si="3"/>
        <v>0</v>
      </c>
      <c r="G61" s="489"/>
      <c r="H61" s="484"/>
      <c r="I61" s="484"/>
      <c r="J61" s="484"/>
      <c r="K61" s="493"/>
      <c r="L61" s="192"/>
      <c r="M61" s="138"/>
      <c r="N61" s="160"/>
      <c r="O61" s="996" t="str">
        <f>VLOOKUP(VLOOKUP($C$3&amp;"-"&amp;$D61,Import!$C:$D,2,FALSE),Parameters!$C$18:$F$22,Summary!$C$7,FALSE)</f>
        <v xml:space="preserve">0 - Vastaus puuttuu </v>
      </c>
      <c r="P61" s="1024" t="str">
        <f>IF(VLOOKUP($C$3&amp;"-"&amp;$D61,Import!$C:$H,3,FALSE)=0,"",VLOOKUP($C$3&amp;"-"&amp;$D61,Import!$C:$H,3,FALSE))</f>
        <v/>
      </c>
      <c r="Q61" s="1024" t="str">
        <f>IF(VLOOKUP($C$3&amp;"-"&amp;$D61,Import!$C:$H,4,FALSE)=0,"",VLOOKUP($C$3&amp;"-"&amp;$D61,Import!$C:$H,4,FALSE))</f>
        <v/>
      </c>
      <c r="R61" s="1024" t="str">
        <f>IF(VLOOKUP($C$3&amp;"-"&amp;$D61,Import!$C:$H,5,FALSE)=0,"",VLOOKUP($C$3&amp;"-"&amp;$D61,Import!$C:$H,5,FALSE))</f>
        <v/>
      </c>
      <c r="S61" s="1025" t="str">
        <f>IF(VLOOKUP($C$3&amp;"-"&amp;$D61,Import!$C:$H,6,FALSE)=0,"",VLOOKUP($C$3&amp;"-"&amp;$D61,Import!$C:$H,6,FALSE))</f>
        <v/>
      </c>
      <c r="T61" s="192"/>
      <c r="U61" s="138"/>
      <c r="V61" s="282"/>
    </row>
    <row r="62" spans="1:22" s="180" customFormat="1" ht="30" customHeight="1" x14ac:dyDescent="0.25">
      <c r="A62" s="169"/>
      <c r="B62" s="273"/>
      <c r="C62" s="173">
        <v>5</v>
      </c>
      <c r="D62" s="173" t="str">
        <f>IF(VLOOKUP(CONCATENATE($C$3,"-",C62),Languages!$A:$D,1,TRUE)=CONCATENATE($C$3,"-",C62),VLOOKUP(CONCATENATE($C$3,"-",C62),Languages!$A:$D,Summary!$C$7,TRUE),NA())</f>
        <v>Yleisiä hallintatoimia</v>
      </c>
      <c r="E62" s="173"/>
      <c r="F62" s="296"/>
      <c r="G62" s="1006"/>
      <c r="H62" s="1030"/>
      <c r="I62" s="1030"/>
      <c r="J62" s="1030"/>
      <c r="K62" s="1030"/>
      <c r="L62" s="192"/>
      <c r="M62" s="138"/>
      <c r="N62" s="160"/>
      <c r="O62" s="296"/>
      <c r="P62" s="297"/>
      <c r="Q62" s="297"/>
      <c r="R62" s="297"/>
      <c r="S62" s="297"/>
      <c r="T62" s="192"/>
      <c r="U62" s="138"/>
      <c r="V62" s="282"/>
    </row>
    <row r="63" spans="1:22" s="289" customFormat="1" ht="19.95" customHeight="1" x14ac:dyDescent="0.2">
      <c r="A63" s="308"/>
      <c r="B63" s="283"/>
      <c r="C63" s="284" t="str">
        <f>IF(VLOOKUP("GEN-LEVEL",Languages!$A:$D,1,TRUE)="GEN-LEVEL",VLOOKUP("GEN-LEVEL",Languages!$A:$D,Summary!$C$7,TRUE),NA())</f>
        <v>Taso</v>
      </c>
      <c r="D63" s="284"/>
      <c r="E63" s="285" t="str">
        <f>IF(VLOOKUP("GEN-PRACTICE",Languages!$A:$D,1,TRUE)="GEN-PRACTICE",VLOOKUP("GEN-PRACTICE",Languages!$A:$D,Summary!$C$7,TRUE),NA())</f>
        <v>Käytäntö</v>
      </c>
      <c r="F63" s="286"/>
      <c r="G63" s="1003" t="str">
        <f>IF(VLOOKUP("GEN-ANSWER",Languages!$A:$D,1,TRUE)="GEN-ANSWER",VLOOKUP("GEN-ANSWER",Languages!$A:$D,Summary!$C$7,TRUE),NA())</f>
        <v>Vastaus</v>
      </c>
      <c r="H63" s="1004" t="str">
        <f>IF(VLOOKUP("KM112",Languages!$A:$D,1,TRUE)="KM112",VLOOKUP("KM112",Languages!$A:$D,Summary!$C$7,TRUE),NA())</f>
        <v>Kommentit</v>
      </c>
      <c r="I63" s="1004" t="str">
        <f>IF(VLOOKUP("KM113",Languages!$A:$D,1,TRUE)="KM113",VLOOKUP("KM113",Languages!$A:$D,Summary!$C$7,TRUE),NA())</f>
        <v>Sisäinen viittaus</v>
      </c>
      <c r="J63" s="1004" t="str">
        <f>IF(VLOOKUP("KM114",Languages!$A:$D,1,TRUE)="KM114",VLOOKUP("KM114",Languages!$A:$D,Summary!$C$7,TRUE),NA())</f>
        <v>Ulkoinen viittaus</v>
      </c>
      <c r="K63" s="1004" t="str">
        <f>IF(VLOOKUP("KM115",Languages!$A:$D,1,TRUE)="KM115",VLOOKUP("KM115",Languages!$A:$D,Summary!$C$7,TRUE),NA())</f>
        <v>Kehityskohde</v>
      </c>
      <c r="L63" s="287"/>
      <c r="M63" s="288"/>
      <c r="N63" s="283"/>
      <c r="O63" s="503" t="str">
        <f>IF(VLOOKUP("GEN-ANSWER",Languages!$A:$D,1,TRUE)="GEN-ANSWER",VLOOKUP("GEN-ANSWER",Languages!$A:$D,Summary!$C$7,TRUE),NA())</f>
        <v>Vastaus</v>
      </c>
      <c r="P63" s="503" t="str">
        <f>IF(VLOOKUP("KM112",Languages!$A:$D,1,TRUE)="KM112",VLOOKUP("KM112",Languages!$A:$D,Summary!$C$7,TRUE),NA())</f>
        <v>Kommentit</v>
      </c>
      <c r="Q63" s="503" t="str">
        <f>IF(VLOOKUP("KM113",Languages!$A:$D,1,TRUE)="KM113",VLOOKUP("KM113",Languages!$A:$D,Summary!$C$7,TRUE),NA())</f>
        <v>Sisäinen viittaus</v>
      </c>
      <c r="R63" s="503" t="str">
        <f>IF(VLOOKUP("KM114",Languages!$A:$D,1,TRUE)="KM114",VLOOKUP("KM114",Languages!$A:$D,Summary!$C$7,TRUE),NA())</f>
        <v>Ulkoinen viittaus</v>
      </c>
      <c r="S63" s="503" t="str">
        <f>IF(VLOOKUP("KM115",Languages!$A:$D,1,TRUE)="KM115",VLOOKUP("KM115",Languages!$A:$D,Summary!$C$7,TRUE),NA())</f>
        <v>Kehityskohde</v>
      </c>
      <c r="T63" s="287"/>
      <c r="U63" s="288"/>
    </row>
    <row r="64" spans="1:22" s="289" customFormat="1" ht="19.95" customHeight="1" x14ac:dyDescent="0.2">
      <c r="A64" s="308"/>
      <c r="B64" s="283"/>
      <c r="C64" s="497">
        <v>1</v>
      </c>
      <c r="D64" s="412"/>
      <c r="E64" s="413"/>
      <c r="F64" s="415"/>
      <c r="G64" s="1043"/>
      <c r="H64" s="1044"/>
      <c r="I64" s="1045"/>
      <c r="J64" s="1045"/>
      <c r="K64" s="1046"/>
      <c r="L64" s="192"/>
      <c r="M64" s="138"/>
      <c r="N64" s="160"/>
      <c r="O64" s="537"/>
      <c r="P64" s="519"/>
      <c r="Q64" s="517"/>
      <c r="R64" s="517"/>
      <c r="S64" s="518"/>
      <c r="T64" s="192"/>
      <c r="U64" s="138"/>
      <c r="V64" s="282"/>
    </row>
    <row r="65" spans="1:22" s="300" customFormat="1" ht="34.950000000000003" customHeight="1" x14ac:dyDescent="0.25">
      <c r="A65" s="309"/>
      <c r="B65" s="1213"/>
      <c r="C65" s="1224">
        <v>2</v>
      </c>
      <c r="D65" s="406" t="s">
        <v>140</v>
      </c>
      <c r="E65" s="507" t="str">
        <f>IF(VLOOKUP(CONCATENATE($C$3,"-",$D65),Languages!$A:$D,1,TRUE)=CONCATENATE($C$3,"-",$D65),VLOOKUP(CONCATENATE($C$3,"-",$D65),Languages!$A:$D,Summary!$C$7,TRUE),NA())</f>
        <v>ASSET-osion toimintaa varten on määritetty dokumentoidut toimintatavat, joita noudatetaan ja päivitetään säännöllisesti.</v>
      </c>
      <c r="F65" s="396">
        <f t="shared" ref="F65:F70" si="4">IFERROR(INT(LEFT($G65,1)),0)</f>
        <v>0</v>
      </c>
      <c r="G65" s="520"/>
      <c r="H65" s="521"/>
      <c r="I65" s="482"/>
      <c r="J65" s="482"/>
      <c r="K65" s="491"/>
      <c r="L65" s="192"/>
      <c r="M65" s="138"/>
      <c r="N65" s="160"/>
      <c r="O65" s="1050" t="str">
        <f>VLOOKUP(VLOOKUP($C$3&amp;"-"&amp;$D65,Import!$C:$D,2,FALSE),Parameters!$C$18:$F$22,Summary!$C$7,FALSE)</f>
        <v xml:space="preserve">0 - Vastaus puuttuu </v>
      </c>
      <c r="P65" s="1051" t="str">
        <f>IF(VLOOKUP($C$3&amp;"-"&amp;$D65,Import!$C:$H,3,FALSE)=0,"",VLOOKUP($C$3&amp;"-"&amp;$D65,Import!$C:$H,3,FALSE))</f>
        <v/>
      </c>
      <c r="Q65" s="1022" t="str">
        <f>IF(VLOOKUP($C$3&amp;"-"&amp;$D65,Import!$C:$H,4,FALSE)=0,"",VLOOKUP($C$3&amp;"-"&amp;$D65,Import!$C:$H,4,FALSE))</f>
        <v/>
      </c>
      <c r="R65" s="1022" t="str">
        <f>IF(VLOOKUP($C$3&amp;"-"&amp;$D65,Import!$C:$H,5,FALSE)=0,"",VLOOKUP($C$3&amp;"-"&amp;$D65,Import!$C:$H,5,FALSE))</f>
        <v/>
      </c>
      <c r="S65" s="1023" t="str">
        <f>IF(VLOOKUP($C$3&amp;"-"&amp;$D65,Import!$C:$H,6,FALSE)=0,"",VLOOKUP($C$3&amp;"-"&amp;$D65,Import!$C:$H,6,FALSE))</f>
        <v/>
      </c>
      <c r="T65" s="192"/>
      <c r="U65" s="138"/>
      <c r="V65" s="282"/>
    </row>
    <row r="66" spans="1:22" s="300" customFormat="1" ht="34.950000000000003" customHeight="1" x14ac:dyDescent="0.25">
      <c r="A66" s="309"/>
      <c r="B66" s="1213"/>
      <c r="C66" s="1225"/>
      <c r="D66" s="407" t="s">
        <v>143</v>
      </c>
      <c r="E66" s="514" t="str">
        <f>IF(VLOOKUP(CONCATENATE($C$3,"-",$D66),Languages!$A:$D,1,TRUE)=CONCATENATE($C$3,"-",$D66),VLOOKUP(CONCATENATE($C$3,"-",$D66),Languages!$A:$D,Summary!$C$7,TRUE),NA())</f>
        <v>ASSET-osion toimintaa varten on tarjolla riittävät resurssit (henkilöstö, rahoitus ja työkalut).</v>
      </c>
      <c r="F66" s="403">
        <f t="shared" si="4"/>
        <v>0</v>
      </c>
      <c r="G66" s="522"/>
      <c r="H66" s="523"/>
      <c r="I66" s="484"/>
      <c r="J66" s="484"/>
      <c r="K66" s="493"/>
      <c r="L66" s="192"/>
      <c r="M66" s="138"/>
      <c r="N66" s="160"/>
      <c r="O66" s="1052" t="str">
        <f>VLOOKUP(VLOOKUP($C$3&amp;"-"&amp;$D66,Import!$C:$D,2,FALSE),Parameters!$C$18:$F$22,Summary!$C$7,FALSE)</f>
        <v xml:space="preserve">0 - Vastaus puuttuu </v>
      </c>
      <c r="P66" s="1053" t="str">
        <f>IF(VLOOKUP($C$3&amp;"-"&amp;$D66,Import!$C:$H,3,FALSE)=0,"",VLOOKUP($C$3&amp;"-"&amp;$D66,Import!$C:$H,3,FALSE))</f>
        <v/>
      </c>
      <c r="Q66" s="1024" t="str">
        <f>IF(VLOOKUP($C$3&amp;"-"&amp;$D66,Import!$C:$H,4,FALSE)=0,"",VLOOKUP($C$3&amp;"-"&amp;$D66,Import!$C:$H,4,FALSE))</f>
        <v/>
      </c>
      <c r="R66" s="1024" t="str">
        <f>IF(VLOOKUP($C$3&amp;"-"&amp;$D66,Import!$C:$H,5,FALSE)=0,"",VLOOKUP($C$3&amp;"-"&amp;$D66,Import!$C:$H,5,FALSE))</f>
        <v/>
      </c>
      <c r="S66" s="1025" t="str">
        <f>IF(VLOOKUP($C$3&amp;"-"&amp;$D66,Import!$C:$H,6,FALSE)=0,"",VLOOKUP($C$3&amp;"-"&amp;$D66,Import!$C:$H,6,FALSE))</f>
        <v/>
      </c>
      <c r="T66" s="192"/>
      <c r="U66" s="138"/>
      <c r="V66" s="282"/>
    </row>
    <row r="67" spans="1:22" s="300" customFormat="1" ht="46.2" customHeight="1" x14ac:dyDescent="0.25">
      <c r="A67" s="309"/>
      <c r="B67" s="1213"/>
      <c r="C67" s="1226">
        <v>3</v>
      </c>
      <c r="D67" s="406" t="s">
        <v>146</v>
      </c>
      <c r="E67" s="507" t="str">
        <f>IF(VLOOKUP(CONCATENATE($C$3,"-",$D67),Languages!$A:$D,1,TRUE)=CONCATENATE($C$3,"-",$D67),VLOOKUP(CONCATENATE($C$3,"-",$D67),Languages!$A:$D,Summary!$C$7,TRUE),NA())</f>
        <v>ASSET-osion toimintaa ohjataan vaatimuksilla, jotka on asetettu organisaation johtotason politiikassa (tai vastaavassa ohjeistuksessa).</v>
      </c>
      <c r="F67" s="396">
        <f t="shared" si="4"/>
        <v>0</v>
      </c>
      <c r="G67" s="520"/>
      <c r="H67" s="521"/>
      <c r="I67" s="482"/>
      <c r="J67" s="482"/>
      <c r="K67" s="491"/>
      <c r="L67" s="192"/>
      <c r="M67" s="138"/>
      <c r="N67" s="160"/>
      <c r="O67" s="1050" t="str">
        <f>VLOOKUP(VLOOKUP($C$3&amp;"-"&amp;$D67,Import!$C:$D,2,FALSE),Parameters!$C$18:$F$22,Summary!$C$7,FALSE)</f>
        <v xml:space="preserve">0 - Vastaus puuttuu </v>
      </c>
      <c r="P67" s="1051" t="str">
        <f>IF(VLOOKUP($C$3&amp;"-"&amp;$D67,Import!$C:$H,3,FALSE)=0,"",VLOOKUP($C$3&amp;"-"&amp;$D67,Import!$C:$H,3,FALSE))</f>
        <v/>
      </c>
      <c r="Q67" s="1022" t="str">
        <f>IF(VLOOKUP($C$3&amp;"-"&amp;$D67,Import!$C:$H,4,FALSE)=0,"",VLOOKUP($C$3&amp;"-"&amp;$D67,Import!$C:$H,4,FALSE))</f>
        <v/>
      </c>
      <c r="R67" s="1022" t="str">
        <f>IF(VLOOKUP($C$3&amp;"-"&amp;$D67,Import!$C:$H,5,FALSE)=0,"",VLOOKUP($C$3&amp;"-"&amp;$D67,Import!$C:$H,5,FALSE))</f>
        <v/>
      </c>
      <c r="S67" s="1023" t="str">
        <f>IF(VLOOKUP($C$3&amp;"-"&amp;$D67,Import!$C:$H,6,FALSE)=0,"",VLOOKUP($C$3&amp;"-"&amp;$D67,Import!$C:$H,6,FALSE))</f>
        <v/>
      </c>
      <c r="T67" s="192"/>
      <c r="U67" s="138"/>
      <c r="V67" s="282"/>
    </row>
    <row r="68" spans="1:22" s="300" customFormat="1" ht="34.950000000000003" customHeight="1" x14ac:dyDescent="0.25">
      <c r="A68" s="309"/>
      <c r="B68" s="1213"/>
      <c r="C68" s="1228"/>
      <c r="D68" s="298" t="s">
        <v>149</v>
      </c>
      <c r="E68" s="508" t="str">
        <f>IF(VLOOKUP(CONCATENATE($C$3,"-",$D68),Languages!$A:$D,1,TRUE)=CONCATENATE($C$3,"-",$D68),VLOOKUP(CONCATENATE($C$3,"-",$D68),Languages!$A:$D,Summary!$C$7,TRUE),NA())</f>
        <v>ASSET-osion toimintaa suorittavilla työntekijöillä on riittävät tiedot ja taidot tehtäviensä suorittamiseen.</v>
      </c>
      <c r="F68" s="291">
        <f t="shared" si="4"/>
        <v>0</v>
      </c>
      <c r="G68" s="524"/>
      <c r="H68" s="525"/>
      <c r="I68" s="483"/>
      <c r="J68" s="483"/>
      <c r="K68" s="492"/>
      <c r="L68" s="192"/>
      <c r="M68" s="138"/>
      <c r="N68" s="160"/>
      <c r="O68" s="1054" t="str">
        <f>VLOOKUP(VLOOKUP($C$3&amp;"-"&amp;$D68,Import!$C:$D,2,FALSE),Parameters!$C$18:$F$22,Summary!$C$7,FALSE)</f>
        <v xml:space="preserve">0 - Vastaus puuttuu </v>
      </c>
      <c r="P68" s="1055" t="str">
        <f>IF(VLOOKUP($C$3&amp;"-"&amp;$D68,Import!$C:$H,3,FALSE)=0,"",VLOOKUP($C$3&amp;"-"&amp;$D68,Import!$C:$H,3,FALSE))</f>
        <v/>
      </c>
      <c r="Q68" s="1017" t="str">
        <f>IF(VLOOKUP($C$3&amp;"-"&amp;$D68,Import!$C:$H,4,FALSE)=0,"",VLOOKUP($C$3&amp;"-"&amp;$D68,Import!$C:$H,4,FALSE))</f>
        <v/>
      </c>
      <c r="R68" s="1017" t="str">
        <f>IF(VLOOKUP($C$3&amp;"-"&amp;$D68,Import!$C:$H,5,FALSE)=0,"",VLOOKUP($C$3&amp;"-"&amp;$D68,Import!$C:$H,5,FALSE))</f>
        <v/>
      </c>
      <c r="S68" s="1018" t="str">
        <f>IF(VLOOKUP($C$3&amp;"-"&amp;$D68,Import!$C:$H,6,FALSE)=0,"",VLOOKUP($C$3&amp;"-"&amp;$D68,Import!$C:$H,6,FALSE))</f>
        <v/>
      </c>
      <c r="T68" s="192"/>
      <c r="U68" s="138"/>
      <c r="V68" s="282"/>
    </row>
    <row r="69" spans="1:22" s="300" customFormat="1" ht="48.6" customHeight="1" x14ac:dyDescent="0.25">
      <c r="A69" s="309"/>
      <c r="B69" s="1213"/>
      <c r="C69" s="1228"/>
      <c r="D69" s="298" t="s">
        <v>151</v>
      </c>
      <c r="E69" s="508" t="str">
        <f>IF(VLOOKUP(CONCATENATE($C$3,"-",$D69),Languages!$A:$D,1,TRUE)=CONCATENATE($C$3,"-",$D69),VLOOKUP(CONCATENATE($C$3,"-",$D69),Languages!$A:$D,Summary!$C$7,TRUE),NA())</f>
        <v>ASSET-osion toiminnan suorittamiseen tarvittavat vastuut, tilivelvollisuudet ja valtuutukset on jalkautettu soveltuville työntekijöille.</v>
      </c>
      <c r="F69" s="291">
        <f t="shared" si="4"/>
        <v>0</v>
      </c>
      <c r="G69" s="524"/>
      <c r="H69" s="525"/>
      <c r="I69" s="483"/>
      <c r="J69" s="483"/>
      <c r="K69" s="492"/>
      <c r="L69" s="192"/>
      <c r="M69" s="138"/>
      <c r="N69" s="160"/>
      <c r="O69" s="1054" t="str">
        <f>VLOOKUP(VLOOKUP($C$3&amp;"-"&amp;$D69,Import!$C:$D,2,FALSE),Parameters!$C$18:$F$22,Summary!$C$7,FALSE)</f>
        <v xml:space="preserve">0 - Vastaus puuttuu </v>
      </c>
      <c r="P69" s="1055" t="str">
        <f>IF(VLOOKUP($C$3&amp;"-"&amp;$D69,Import!$C:$H,3,FALSE)=0,"",VLOOKUP($C$3&amp;"-"&amp;$D69,Import!$C:$H,3,FALSE))</f>
        <v/>
      </c>
      <c r="Q69" s="1017" t="str">
        <f>IF(VLOOKUP($C$3&amp;"-"&amp;$D69,Import!$C:$H,4,FALSE)=0,"",VLOOKUP($C$3&amp;"-"&amp;$D69,Import!$C:$H,4,FALSE))</f>
        <v/>
      </c>
      <c r="R69" s="1017" t="str">
        <f>IF(VLOOKUP($C$3&amp;"-"&amp;$D69,Import!$C:$H,5,FALSE)=0,"",VLOOKUP($C$3&amp;"-"&amp;$D69,Import!$C:$H,5,FALSE))</f>
        <v/>
      </c>
      <c r="S69" s="1018" t="str">
        <f>IF(VLOOKUP($C$3&amp;"-"&amp;$D69,Import!$C:$H,6,FALSE)=0,"",VLOOKUP($C$3&amp;"-"&amp;$D69,Import!$C:$H,6,FALSE))</f>
        <v/>
      </c>
      <c r="T69" s="192"/>
      <c r="U69" s="138"/>
      <c r="V69" s="282"/>
    </row>
    <row r="70" spans="1:22" s="300" customFormat="1" ht="34.950000000000003" customHeight="1" x14ac:dyDescent="0.25">
      <c r="A70" s="309"/>
      <c r="B70" s="1213"/>
      <c r="C70" s="1227"/>
      <c r="D70" s="407" t="s">
        <v>153</v>
      </c>
      <c r="E70" s="514" t="str">
        <f>IF(VLOOKUP(CONCATENATE($C$3,"-",$D70),Languages!$A:$D,1,TRUE)=CONCATENATE($C$3,"-",$D70),VLOOKUP(CONCATENATE($C$3,"-",$D70),Languages!$A:$D,Summary!$C$7,TRUE),NA())</f>
        <v>ASSET-osion toiminnan vaikuttavuutta arvioidaan ja seurataan.</v>
      </c>
      <c r="F70" s="403">
        <f t="shared" si="4"/>
        <v>0</v>
      </c>
      <c r="G70" s="522"/>
      <c r="H70" s="523"/>
      <c r="I70" s="484"/>
      <c r="J70" s="484"/>
      <c r="K70" s="493"/>
      <c r="L70" s="192"/>
      <c r="M70" s="138"/>
      <c r="N70" s="160"/>
      <c r="O70" s="1052" t="str">
        <f>VLOOKUP(VLOOKUP($C$3&amp;"-"&amp;$D70,Import!$C:$D,2,FALSE),Parameters!$C$18:$F$22,Summary!$C$7,FALSE)</f>
        <v xml:space="preserve">0 - Vastaus puuttuu </v>
      </c>
      <c r="P70" s="1053" t="str">
        <f>IF(VLOOKUP($C$3&amp;"-"&amp;$D70,Import!$C:$H,3,FALSE)=0,"",VLOOKUP($C$3&amp;"-"&amp;$D70,Import!$C:$H,3,FALSE))</f>
        <v/>
      </c>
      <c r="Q70" s="1024" t="str">
        <f>IF(VLOOKUP($C$3&amp;"-"&amp;$D70,Import!$C:$H,4,FALSE)=0,"",VLOOKUP($C$3&amp;"-"&amp;$D70,Import!$C:$H,4,FALSE))</f>
        <v/>
      </c>
      <c r="R70" s="1024" t="str">
        <f>IF(VLOOKUP($C$3&amp;"-"&amp;$D70,Import!$C:$H,5,FALSE)=0,"",VLOOKUP($C$3&amp;"-"&amp;$D70,Import!$C:$H,5,FALSE))</f>
        <v/>
      </c>
      <c r="S70" s="1025" t="str">
        <f>IF(VLOOKUP($C$3&amp;"-"&amp;$D70,Import!$C:$H,6,FALSE)=0,"",VLOOKUP($C$3&amp;"-"&amp;$D70,Import!$C:$H,6,FALSE))</f>
        <v/>
      </c>
      <c r="T70" s="192"/>
      <c r="U70" s="138"/>
      <c r="V70" s="282"/>
    </row>
    <row r="71" spans="1:22" x14ac:dyDescent="0.25">
      <c r="A71" s="184"/>
      <c r="B71" s="333"/>
      <c r="C71" s="334"/>
      <c r="D71" s="335"/>
      <c r="E71" s="336"/>
      <c r="F71" s="337"/>
      <c r="G71" s="338"/>
      <c r="H71" s="339"/>
      <c r="I71" s="339"/>
      <c r="J71" s="339"/>
      <c r="K71" s="339"/>
      <c r="L71" s="192"/>
      <c r="M71" s="565"/>
      <c r="N71" s="338"/>
      <c r="O71" s="338"/>
      <c r="P71" s="339"/>
      <c r="Q71" s="339"/>
      <c r="R71" s="339"/>
      <c r="S71" s="339"/>
      <c r="T71" s="192"/>
      <c r="U71" s="138"/>
      <c r="V71" s="282"/>
    </row>
    <row r="72" spans="1:22" x14ac:dyDescent="0.25">
      <c r="A72" s="184"/>
      <c r="B72" s="184"/>
      <c r="C72" s="184"/>
      <c r="D72" s="184"/>
      <c r="E72" s="184"/>
      <c r="F72" s="340"/>
      <c r="G72" s="184"/>
      <c r="H72" s="184"/>
      <c r="I72" s="184"/>
      <c r="J72" s="184"/>
      <c r="K72" s="184"/>
      <c r="L72" s="516"/>
      <c r="M72" s="184"/>
      <c r="N72" s="184"/>
      <c r="O72" s="184"/>
      <c r="P72" s="184"/>
      <c r="Q72" s="184"/>
      <c r="R72" s="184"/>
      <c r="S72" s="184"/>
      <c r="T72" s="516"/>
      <c r="U72" s="184"/>
      <c r="V72" s="282"/>
    </row>
    <row r="73" spans="1:22" x14ac:dyDescent="0.25">
      <c r="M73" s="282"/>
      <c r="N73" s="282"/>
      <c r="U73" s="282"/>
      <c r="V73" s="282"/>
    </row>
    <row r="74" spans="1:22" x14ac:dyDescent="0.25">
      <c r="M74" s="282"/>
      <c r="N74" s="282"/>
      <c r="U74" s="282"/>
      <c r="V74" s="282"/>
    </row>
    <row r="75" spans="1:22" x14ac:dyDescent="0.25">
      <c r="M75" s="282"/>
      <c r="N75" s="282"/>
      <c r="U75" s="282"/>
      <c r="V75" s="282"/>
    </row>
    <row r="76" spans="1:22" x14ac:dyDescent="0.25">
      <c r="M76" s="282"/>
      <c r="N76" s="282"/>
      <c r="U76" s="282"/>
      <c r="V76" s="282"/>
    </row>
    <row r="77" spans="1:22" x14ac:dyDescent="0.25">
      <c r="M77" s="282"/>
      <c r="N77" s="282"/>
      <c r="U77" s="282"/>
      <c r="V77" s="282"/>
    </row>
    <row r="78" spans="1:22" x14ac:dyDescent="0.25">
      <c r="M78" s="282"/>
      <c r="N78" s="282"/>
      <c r="U78" s="282"/>
      <c r="V78" s="282"/>
    </row>
    <row r="79" spans="1:22" x14ac:dyDescent="0.25">
      <c r="M79" s="282"/>
      <c r="N79" s="282"/>
      <c r="U79" s="282"/>
      <c r="V79" s="282"/>
    </row>
  </sheetData>
  <sheetProtection sheet="1" formatCells="0" formatColumns="0" formatRows="0"/>
  <mergeCells count="29">
    <mergeCell ref="C60:C61"/>
    <mergeCell ref="C67:C70"/>
    <mergeCell ref="I10:J11"/>
    <mergeCell ref="C6:K6"/>
    <mergeCell ref="I8:J8"/>
    <mergeCell ref="C58:C59"/>
    <mergeCell ref="C56:C57"/>
    <mergeCell ref="C13:K13"/>
    <mergeCell ref="C27:C30"/>
    <mergeCell ref="C31:C34"/>
    <mergeCell ref="C38:C41"/>
    <mergeCell ref="C42:C45"/>
    <mergeCell ref="C50:C53"/>
    <mergeCell ref="O3:S21"/>
    <mergeCell ref="C15:K15"/>
    <mergeCell ref="C17:K17"/>
    <mergeCell ref="C19:K19"/>
    <mergeCell ref="B69:B70"/>
    <mergeCell ref="B26:B27"/>
    <mergeCell ref="B28:B31"/>
    <mergeCell ref="B37:B38"/>
    <mergeCell ref="B39:B42"/>
    <mergeCell ref="B48:B49"/>
    <mergeCell ref="B50:B53"/>
    <mergeCell ref="B56:B57"/>
    <mergeCell ref="B65:B68"/>
    <mergeCell ref="B58:B61"/>
    <mergeCell ref="C21:K21"/>
    <mergeCell ref="C65:C66"/>
  </mergeCells>
  <conditionalFormatting sqref="F4:F5 F35 F46 F26:F31 F7:F12 F37:F42 F48:F54 F56:F62 F64:F1048576">
    <cfRule type="containsText" dxfId="259" priority="37" operator="containsText" text="0">
      <formula>NOT(ISERROR(SEARCH("0",F4)))</formula>
    </cfRule>
  </conditionalFormatting>
  <conditionalFormatting sqref="F32:F34">
    <cfRule type="containsText" dxfId="258" priority="31" operator="containsText" text="0">
      <formula>NOT(ISERROR(SEARCH("0",F32)))</formula>
    </cfRule>
  </conditionalFormatting>
  <conditionalFormatting sqref="F43:F45">
    <cfRule type="containsText" dxfId="257" priority="29" operator="containsText" text="0">
      <formula>NOT(ISERROR(SEARCH("0",F43)))</formula>
    </cfRule>
  </conditionalFormatting>
  <conditionalFormatting sqref="F1 F3">
    <cfRule type="containsText" dxfId="256" priority="22" operator="containsText" text="0">
      <formula>NOT(ISERROR(SEARCH("0",F1)))</formula>
    </cfRule>
  </conditionalFormatting>
  <conditionalFormatting sqref="F2">
    <cfRule type="containsText" dxfId="255" priority="21" operator="containsText" text="0">
      <formula>NOT(ISERROR(SEARCH("0",F2)))</formula>
    </cfRule>
  </conditionalFormatting>
  <conditionalFormatting sqref="F25">
    <cfRule type="containsText" dxfId="254" priority="19" operator="containsText" text="0">
      <formula>NOT(ISERROR(SEARCH("0",F25)))</formula>
    </cfRule>
  </conditionalFormatting>
  <conditionalFormatting sqref="F36">
    <cfRule type="containsText" dxfId="253" priority="17" operator="containsText" text="0">
      <formula>NOT(ISERROR(SEARCH("0",F36)))</formula>
    </cfRule>
  </conditionalFormatting>
  <conditionalFormatting sqref="F47">
    <cfRule type="containsText" dxfId="252" priority="15" operator="containsText" text="0">
      <formula>NOT(ISERROR(SEARCH("0",F47)))</formula>
    </cfRule>
  </conditionalFormatting>
  <conditionalFormatting sqref="F55">
    <cfRule type="containsText" dxfId="251" priority="13" operator="containsText" text="0">
      <formula>NOT(ISERROR(SEARCH("0",F55)))</formula>
    </cfRule>
  </conditionalFormatting>
  <conditionalFormatting sqref="F63">
    <cfRule type="containsText" dxfId="250" priority="11" operator="containsText" text="0">
      <formula>NOT(ISERROR(SEARCH("0",F63)))</formula>
    </cfRule>
  </conditionalFormatting>
  <conditionalFormatting sqref="F14">
    <cfRule type="containsText" dxfId="249" priority="9" operator="containsText" text="0">
      <formula>NOT(ISERROR(SEARCH("0",F14)))</formula>
    </cfRule>
  </conditionalFormatting>
  <conditionalFormatting sqref="F16">
    <cfRule type="containsText" dxfId="248" priority="7" operator="containsText" text="0">
      <formula>NOT(ISERROR(SEARCH("0",F16)))</formula>
    </cfRule>
  </conditionalFormatting>
  <conditionalFormatting sqref="F18">
    <cfRule type="containsText" dxfId="247" priority="5" operator="containsText" text="0">
      <formula>NOT(ISERROR(SEARCH("0",F18)))</formula>
    </cfRule>
  </conditionalFormatting>
  <conditionalFormatting sqref="F20">
    <cfRule type="containsText" dxfId="246" priority="3" operator="containsText" text="0">
      <formula>NOT(ISERROR(SEARCH("0",F20)))</formula>
    </cfRule>
  </conditionalFormatting>
  <conditionalFormatting sqref="F24">
    <cfRule type="containsText" dxfId="245" priority="1" operator="containsText" text="0">
      <formula>NOT(ISERROR(SEARCH("0",F24)))</formula>
    </cfRule>
  </conditionalFormatting>
  <pageMargins left="0.7" right="0.7" top="0.75" bottom="0.75" header="0.3" footer="0.3"/>
  <pageSetup paperSize="9" scale="42" orientation="portrait" r:id="rId1"/>
  <rowBreaks count="1" manualBreakCount="1">
    <brk id="45" max="16383" man="1"/>
  </rowBreaks>
  <colBreaks count="1" manualBreakCount="1">
    <brk id="13" max="1048575" man="1"/>
  </colBreaks>
  <ignoredErrors>
    <ignoredError sqref="O34 O45 O53 O61 O70 O26 O27 O28 O29 O30 O31 O32 O33 O37 O38 O39 O40 O41 O42 O43 O44 O48 O49 O50 O51 O52 O56 O57 O58 O59 O60 O65 O66 O67 O68 O69 P26:S34 P37:S45 P48:S53 P56:S61 P65:S70" unlockedFormula="1"/>
  </ignoredErrors>
  <drawing r:id="rId2"/>
  <extLst>
    <ext xmlns:x14="http://schemas.microsoft.com/office/spreadsheetml/2009/9/main" uri="{78C0D931-6437-407d-A8EE-F0AAD7539E65}">
      <x14:conditionalFormattings>
        <x14:conditionalFormatting xmlns:xm="http://schemas.microsoft.com/office/excel/2006/main">
          <x14:cfRule type="iconSet" priority="38" id="{79FD6B73-7264-4789-BE5C-31E7DF7E0E3D}">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F64:F1048576 F56:F62 F48:F54 F46 F35 F4:F5 F26:F31 F7:F12 F37:F42</xm:sqref>
        </x14:conditionalFormatting>
        <x14:conditionalFormatting xmlns:xm="http://schemas.microsoft.com/office/excel/2006/main">
          <x14:cfRule type="iconSet" priority="32" id="{05DA2670-A778-4FD8-95C2-97F0F6E8FD5B}">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F32:F34</xm:sqref>
        </x14:conditionalFormatting>
        <x14:conditionalFormatting xmlns:xm="http://schemas.microsoft.com/office/excel/2006/main">
          <x14:cfRule type="iconSet" priority="30" id="{6239A956-0951-401E-AAEA-097B7D91FAF9}">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F43:F45</xm:sqref>
        </x14:conditionalFormatting>
        <x14:conditionalFormatting xmlns:xm="http://schemas.microsoft.com/office/excel/2006/main">
          <x14:cfRule type="iconSet" priority="24" id="{3DEA875F-4EAC-4C46-B72B-051E11B90B0D}">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F2</xm:sqref>
        </x14:conditionalFormatting>
        <x14:conditionalFormatting xmlns:xm="http://schemas.microsoft.com/office/excel/2006/main">
          <x14:cfRule type="iconSet" priority="23" id="{9AD6858C-A020-47F8-AB47-D2307C1D51BC}">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F3 F1</xm:sqref>
        </x14:conditionalFormatting>
        <x14:conditionalFormatting xmlns:xm="http://schemas.microsoft.com/office/excel/2006/main">
          <x14:cfRule type="iconSet" priority="20" id="{15687762-B620-47FE-BAB1-04989FDECB6E}">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F25</xm:sqref>
        </x14:conditionalFormatting>
        <x14:conditionalFormatting xmlns:xm="http://schemas.microsoft.com/office/excel/2006/main">
          <x14:cfRule type="iconSet" priority="18" id="{5990CCFB-52D0-417D-8B76-4714BF6CFB64}">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F36</xm:sqref>
        </x14:conditionalFormatting>
        <x14:conditionalFormatting xmlns:xm="http://schemas.microsoft.com/office/excel/2006/main">
          <x14:cfRule type="iconSet" priority="16" id="{D8ABFA10-ABEB-486B-B054-8206E8A83962}">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F47</xm:sqref>
        </x14:conditionalFormatting>
        <x14:conditionalFormatting xmlns:xm="http://schemas.microsoft.com/office/excel/2006/main">
          <x14:cfRule type="iconSet" priority="14" id="{8417646C-9DDA-4974-A963-BFEEBD97EACF}">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F55</xm:sqref>
        </x14:conditionalFormatting>
        <x14:conditionalFormatting xmlns:xm="http://schemas.microsoft.com/office/excel/2006/main">
          <x14:cfRule type="iconSet" priority="12" id="{A0D9ABB7-D061-4168-89D2-04A850FFD825}">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F63</xm:sqref>
        </x14:conditionalFormatting>
        <x14:conditionalFormatting xmlns:xm="http://schemas.microsoft.com/office/excel/2006/main">
          <x14:cfRule type="iconSet" priority="10" id="{07B3B622-30AA-476A-8E8C-2669D6DAD58E}">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F14</xm:sqref>
        </x14:conditionalFormatting>
        <x14:conditionalFormatting xmlns:xm="http://schemas.microsoft.com/office/excel/2006/main">
          <x14:cfRule type="iconSet" priority="8" id="{C7B84414-F8FA-4FA8-9404-114B08BACCF0}">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F16</xm:sqref>
        </x14:conditionalFormatting>
        <x14:conditionalFormatting xmlns:xm="http://schemas.microsoft.com/office/excel/2006/main">
          <x14:cfRule type="iconSet" priority="6" id="{C21F37D6-8BC6-46D0-8608-109E7DA51D6A}">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F18</xm:sqref>
        </x14:conditionalFormatting>
        <x14:conditionalFormatting xmlns:xm="http://schemas.microsoft.com/office/excel/2006/main">
          <x14:cfRule type="iconSet" priority="4" id="{D51850E1-6807-4D9F-8A88-546813A700EE}">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F20</xm:sqref>
        </x14:conditionalFormatting>
        <x14:conditionalFormatting xmlns:xm="http://schemas.microsoft.com/office/excel/2006/main">
          <x14:cfRule type="iconSet" priority="2" id="{A3AC76DC-8B91-4B23-9EC4-09FDD6E0B25C}">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F24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Parameters!$B$18:$B$22</xm:f>
          </x14:formula1>
          <xm:sqref>G37:G45 G48:G53 G56:G61 G65:G70 G26:G34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2" tint="0.79998168889431442"/>
  </sheetPr>
  <dimension ref="A1:U59"/>
  <sheetViews>
    <sheetView showGridLines="0" zoomScale="80" zoomScaleNormal="80" workbookViewId="0"/>
  </sheetViews>
  <sheetFormatPr defaultColWidth="9.26953125" defaultRowHeight="13.8" x14ac:dyDescent="0.25"/>
  <cols>
    <col min="1" max="2" width="1.6328125" style="187" customWidth="1"/>
    <col min="3" max="3" width="2.6328125" style="187" customWidth="1"/>
    <col min="4" max="4" width="3.1796875" style="341" customWidth="1"/>
    <col min="5" max="5" width="55.6328125" style="187" customWidth="1"/>
    <col min="6" max="6" width="2.6328125" style="327" customWidth="1"/>
    <col min="7" max="7" width="14.6328125" style="314" customWidth="1"/>
    <col min="8" max="8" width="30.6328125" customWidth="1"/>
    <col min="9" max="9" width="20.6328125" customWidth="1"/>
    <col min="10" max="10" width="20.6328125" style="342" customWidth="1"/>
    <col min="11" max="11" width="10.6328125" style="187" customWidth="1"/>
    <col min="12" max="12" width="1.6328125" style="343" customWidth="1"/>
    <col min="13" max="13" width="1.6328125" style="344" customWidth="1"/>
    <col min="14" max="14" width="1.6328125" style="343" customWidth="1"/>
    <col min="15" max="15" width="14.6328125" style="314" customWidth="1"/>
    <col min="16" max="16" width="30.6328125" customWidth="1"/>
    <col min="17" max="17" width="20.6328125" customWidth="1"/>
    <col min="18" max="18" width="20.6328125" style="342" customWidth="1"/>
    <col min="19" max="19" width="10.6328125" style="187" customWidth="1"/>
    <col min="20" max="20" width="1.6328125" style="343" customWidth="1"/>
    <col min="21" max="21" width="1.6328125" style="344" customWidth="1"/>
    <col min="22" max="16384" width="9.26953125" style="187"/>
  </cols>
  <sheetData>
    <row r="1" spans="1:21" s="143" customFormat="1" ht="11.4" x14ac:dyDescent="0.25">
      <c r="A1" s="138"/>
      <c r="B1" s="138"/>
      <c r="C1" s="138"/>
      <c r="D1" s="138"/>
      <c r="E1" s="138"/>
      <c r="F1" s="255"/>
      <c r="G1" s="254"/>
      <c r="H1" s="254"/>
      <c r="I1" s="254"/>
      <c r="J1" s="254"/>
      <c r="K1" s="254"/>
      <c r="L1" s="138"/>
      <c r="M1" s="138"/>
      <c r="N1" s="138"/>
      <c r="O1" s="254"/>
      <c r="P1" s="254"/>
      <c r="Q1" s="254"/>
      <c r="R1" s="254"/>
      <c r="S1" s="254"/>
      <c r="T1" s="138"/>
      <c r="U1" s="138"/>
    </row>
    <row r="2" spans="1:21" s="261" customFormat="1" ht="15" customHeight="1" x14ac:dyDescent="0.2">
      <c r="A2" s="256"/>
      <c r="B2" s="145"/>
      <c r="C2" s="257"/>
      <c r="D2" s="148"/>
      <c r="E2" s="258"/>
      <c r="F2" s="149"/>
      <c r="G2" s="259"/>
      <c r="H2" s="259"/>
      <c r="I2" s="259"/>
      <c r="J2" s="259"/>
      <c r="K2" s="259"/>
      <c r="L2" s="150"/>
      <c r="M2" s="256"/>
      <c r="N2" s="504"/>
      <c r="O2" s="890"/>
      <c r="P2" s="890"/>
      <c r="Q2" s="890"/>
      <c r="R2" s="890"/>
      <c r="S2" s="890"/>
      <c r="T2" s="891"/>
      <c r="U2" s="256"/>
    </row>
    <row r="3" spans="1:21" s="261" customFormat="1" ht="25.05" customHeight="1" x14ac:dyDescent="0.25">
      <c r="A3" s="256"/>
      <c r="B3" s="152"/>
      <c r="C3" s="153" t="s">
        <v>66</v>
      </c>
      <c r="D3" s="154"/>
      <c r="E3" s="436"/>
      <c r="F3" s="155"/>
      <c r="H3" s="272" t="str">
        <f>IF(VLOOKUP("GEN-TOTAL",Languages!$A:$D,1,TRUE)="GEN-TOTAL",VLOOKUP("GEN-TOTAL",Languages!$A:$D,Summary!$C$7,TRUE),NA())</f>
        <v>Kokonaisarvio</v>
      </c>
      <c r="I3" s="156" t="str">
        <f>IF(VLOOKUP("GEN-SEC",Languages!$A:$D,1,TRUE)="GEN-SEC",VLOOKUP("GEN-SEC",Languages!$A:$D,Summary!$C$7,TRUE),NA())</f>
        <v>Tiedon luokittelu</v>
      </c>
      <c r="J3" s="437"/>
      <c r="L3" s="157"/>
      <c r="M3" s="256"/>
      <c r="N3" s="892"/>
      <c r="O3" s="1221" t="str">
        <f>VLOOKUP($C$3,Infoimport!$B$4:$C$14,2,FALSE)</f>
        <v>THREAT, tiedot Infoimport-välilehdeltä</v>
      </c>
      <c r="P3" s="1221"/>
      <c r="Q3" s="1221"/>
      <c r="R3" s="1221"/>
      <c r="S3" s="1221"/>
      <c r="T3" s="893"/>
      <c r="U3" s="256"/>
    </row>
    <row r="4" spans="1:21" s="322" customFormat="1" ht="25.05" customHeight="1" x14ac:dyDescent="0.3">
      <c r="A4" s="320"/>
      <c r="B4" s="321"/>
      <c r="C4" s="158" t="str">
        <f>IF(VLOOKUP($C$3,Languages!$A:$D,1,TRUE)=$C$3,VLOOKUP($C$3,Languages!$A:$D,Summary!$C$7,TRUE),NA())</f>
        <v>Uhkien ja haavoittuvuuksien hallinta (THREAT)</v>
      </c>
      <c r="D4" s="262"/>
      <c r="E4" s="263"/>
      <c r="F4" s="324"/>
      <c r="G4" s="323"/>
      <c r="H4" s="265" t="str">
        <f ca="1">VLOOKUP(VLOOKUP(CONCATENATE($C$3),Data!$K:$O,5,FALSE),Parameters!$C$7:$F$10,Summary!$C$7,FALSE)</f>
        <v>Kypsyystaso 0</v>
      </c>
      <c r="I4" s="781"/>
      <c r="J4" s="266"/>
      <c r="K4" s="261"/>
      <c r="L4" s="157"/>
      <c r="M4" s="320"/>
      <c r="N4" s="892"/>
      <c r="O4" s="1221"/>
      <c r="P4" s="1221"/>
      <c r="Q4" s="1221"/>
      <c r="R4" s="1221"/>
      <c r="S4" s="1221"/>
      <c r="T4" s="893"/>
      <c r="U4" s="256"/>
    </row>
    <row r="5" spans="1:21" ht="10.050000000000001" customHeight="1" x14ac:dyDescent="0.25">
      <c r="A5" s="181"/>
      <c r="B5" s="312"/>
      <c r="C5" s="325"/>
      <c r="D5" s="326"/>
      <c r="E5" s="326"/>
      <c r="F5" s="265"/>
      <c r="G5" s="265"/>
      <c r="I5" s="498"/>
      <c r="J5" s="266"/>
      <c r="K5" s="261"/>
      <c r="L5" s="157"/>
      <c r="M5" s="181"/>
      <c r="N5" s="892"/>
      <c r="O5" s="1221"/>
      <c r="P5" s="1221"/>
      <c r="Q5" s="1221"/>
      <c r="R5" s="1221"/>
      <c r="S5" s="1221"/>
      <c r="T5" s="893"/>
      <c r="U5" s="256"/>
    </row>
    <row r="6" spans="1:21" ht="109.95" customHeight="1" x14ac:dyDescent="0.2">
      <c r="A6" s="181"/>
      <c r="B6" s="312"/>
      <c r="C6" s="1216" t="str">
        <f>IF(VLOOKUP(CONCATENATE(C3,"-0"),Languages!$A:$D,1,TRUE)=CONCATENATE(C3,"-0"),VLOOKUP(CONCATENATE(C3,"-0"),Languages!$A:$D,Summary!$C$7,TRUE),NA())</f>
        <v>Uhkien ja haavoittuvuuksien hallinnan osiossa arvioidaan organisaation kykyä määritellä ja ylläpitää suunnitelmia, prosesseja ja tekniikoita kyberuhkien ja -haavoittuvuuksien havainnointiin, tunnistamiseen, analysointiin, hallintaan ja niihin puuttumiseen - suhteessa organisaatioon kohdistuviin riskeihin ja organisaation tavoitteisiin. Kyberuhalla tarkoitetaan mitä tahansa tilannetta tai tapausta, joka voi vaikuttaa negatiivisesti organisaation omiin resursseihin ja toimintaan (mukaan lukien esimerkiksi organisaation tavoitteet, toiminnot, julkisuuskuvan tai maineen) tai välillisesti muihin organisaatioihin (esimerkiksi organisaation IT-, OT- tai viestintäjärjestelmien luvattoman käytön, tuhoamisen, tiedon julkistamisen, peukaloinnin tai palvelunestohyökkäyksen seurauksena). IT-, OT- ja viestintäjärjestelmiin kohdistuu laaja joukko erilaisia uhkia, joihin voi lisäksi liittyä erilaisia uhkatekijöitä, haittaohjelmia (kuten viruksia ja matoja) tai laajamittaisia hajautettuja palvelunestohyökkäyksiä. Kyberhaavoittuvuus on IT-, OT- tai viestintäjärjestelmässä, laitteessa, toimintatavassa tai sisäisessä suojausmekanismissa oleva puute tai aukko, jota mahdollinen uhka voi käyttää hyväksi.</v>
      </c>
      <c r="D6" s="1216"/>
      <c r="E6" s="1216"/>
      <c r="F6" s="1216"/>
      <c r="G6" s="1216"/>
      <c r="H6" s="1216"/>
      <c r="I6" s="1216"/>
      <c r="J6" s="1216"/>
      <c r="K6" s="1216"/>
      <c r="L6" s="157"/>
      <c r="M6" s="181"/>
      <c r="N6" s="892"/>
      <c r="O6" s="1221"/>
      <c r="P6" s="1221"/>
      <c r="Q6" s="1221"/>
      <c r="R6" s="1221"/>
      <c r="S6" s="1221"/>
      <c r="T6" s="893"/>
      <c r="U6" s="256"/>
    </row>
    <row r="7" spans="1:21" ht="14.4" customHeight="1" x14ac:dyDescent="0.2">
      <c r="A7" s="181"/>
      <c r="B7" s="312"/>
      <c r="C7" s="268">
        <v>1</v>
      </c>
      <c r="D7" s="269" t="s">
        <v>1</v>
      </c>
      <c r="E7" s="270" t="str">
        <f>IF(VLOOKUP(CONCATENATE($C$3,"-",C7),Languages!$A:$D,1,TRUE)=CONCATENATE($C$3,"-",C7),VLOOKUP(CONCATENATE($C$3,"-",C7),Languages!$A:$D,Summary!$C$7,TRUE),NA())</f>
        <v>Haavoittuvuuksien vähentäminen</v>
      </c>
      <c r="H7" s="271" t="str">
        <f ca="1">VLOOKUP(VLOOKUP(CONCATENATE($C$3,"-",$C7),Data!$K:$O,5,FALSE),Parameters!$C$7:$F$10,Summary!$C$7,FALSE)</f>
        <v>Kypsyystaso 0</v>
      </c>
      <c r="I7" s="505" t="str">
        <f>IF(VLOOKUP("KM110",Languages!$A:$D,1,TRUE)="KM110",VLOOKUP("KM110",Languages!$A:$D,Summary!$C$7,TRUE),NA())</f>
        <v>Päivämäärä</v>
      </c>
      <c r="J7" s="479"/>
      <c r="K7" s="261"/>
      <c r="L7" s="157"/>
      <c r="M7" s="181"/>
      <c r="N7" s="892"/>
      <c r="O7" s="1221"/>
      <c r="P7" s="1221"/>
      <c r="Q7" s="1221"/>
      <c r="R7" s="1221"/>
      <c r="S7" s="1221"/>
      <c r="T7" s="893"/>
      <c r="U7" s="256"/>
    </row>
    <row r="8" spans="1:21" ht="14.4" customHeight="1" x14ac:dyDescent="0.25">
      <c r="A8" s="181"/>
      <c r="B8" s="312"/>
      <c r="C8" s="268">
        <v>2</v>
      </c>
      <c r="D8" s="269" t="s">
        <v>1</v>
      </c>
      <c r="E8" s="270" t="str">
        <f>IF(VLOOKUP(CONCATENATE($C$3,"-",C8),Languages!$A:$D,1,TRUE)=CONCATENATE($C$3,"-",C8),VLOOKUP(CONCATENATE($C$3,"-",C8),Languages!$A:$D,Summary!$C$7,TRUE),NA())</f>
        <v>Uhkien torjunta ja uhkatiedon jakaminen</v>
      </c>
      <c r="F8" s="328"/>
      <c r="H8" s="271" t="str">
        <f ca="1">VLOOKUP(VLOOKUP(CONCATENATE($C$3,"-",$C8),Data!$K:$O,5,FALSE),Parameters!$C$7:$F$10,Summary!$C$7,FALSE)</f>
        <v>Kypsyystaso 0</v>
      </c>
      <c r="I8" s="1217"/>
      <c r="J8" s="1218"/>
      <c r="K8" s="261"/>
      <c r="L8" s="157"/>
      <c r="M8" s="181"/>
      <c r="N8" s="892"/>
      <c r="O8" s="1221"/>
      <c r="P8" s="1221"/>
      <c r="Q8" s="1221"/>
      <c r="R8" s="1221"/>
      <c r="S8" s="1221"/>
      <c r="T8" s="893"/>
      <c r="U8" s="256"/>
    </row>
    <row r="9" spans="1:21" ht="14.4" customHeight="1" x14ac:dyDescent="0.2">
      <c r="A9" s="181"/>
      <c r="B9" s="312"/>
      <c r="C9" s="268">
        <v>3</v>
      </c>
      <c r="D9" s="269" t="s">
        <v>1</v>
      </c>
      <c r="E9" s="270" t="str">
        <f>IF(VLOOKUP(CONCATENATE($C$3,"-",C9),Languages!$A:$D,1,TRUE)=CONCATENATE($C$3,"-",C9),VLOOKUP(CONCATENATE($C$3,"-",C9),Languages!$A:$D,Summary!$C$7,TRUE),NA())</f>
        <v>Yleisiä hallintatoimia</v>
      </c>
      <c r="F9" s="329"/>
      <c r="H9" s="271" t="str">
        <f ca="1">VLOOKUP(VLOOKUP(CONCATENATE($C$3,"-",$C9),Data!$K:$O,5,FALSE),Parameters!$C$7:$F$10,Summary!$C$7,FALSE)</f>
        <v>Kypsyystaso 1</v>
      </c>
      <c r="I9" s="505" t="str">
        <f>IF(VLOOKUP("KM111",Languages!$A:$D,1,TRUE)="KM111",VLOOKUP("KM111",Languages!$A:$D,Summary!$C$7,TRUE),NA())</f>
        <v>Osallistujat</v>
      </c>
      <c r="J9" s="479"/>
      <c r="K9" s="151"/>
      <c r="L9" s="157"/>
      <c r="M9" s="181"/>
      <c r="N9" s="892"/>
      <c r="O9" s="1221"/>
      <c r="P9" s="1221"/>
      <c r="Q9" s="1221"/>
      <c r="R9" s="1221"/>
      <c r="S9" s="1221"/>
      <c r="T9" s="893"/>
      <c r="U9" s="256"/>
    </row>
    <row r="10" spans="1:21" ht="14.4" customHeight="1" x14ac:dyDescent="0.2">
      <c r="A10" s="181"/>
      <c r="B10" s="312"/>
      <c r="C10" s="268"/>
      <c r="D10" s="269"/>
      <c r="E10" s="270"/>
      <c r="F10" s="329"/>
      <c r="H10" s="271"/>
      <c r="I10" s="1208"/>
      <c r="J10" s="1209"/>
      <c r="K10" s="151"/>
      <c r="L10" s="157"/>
      <c r="M10" s="181"/>
      <c r="N10" s="892"/>
      <c r="O10" s="1221"/>
      <c r="P10" s="1221"/>
      <c r="Q10" s="1221"/>
      <c r="R10" s="1221"/>
      <c r="S10" s="1221"/>
      <c r="T10" s="893"/>
      <c r="U10" s="256"/>
    </row>
    <row r="11" spans="1:21" ht="14.4" customHeight="1" x14ac:dyDescent="0.2">
      <c r="A11" s="181"/>
      <c r="B11" s="312"/>
      <c r="C11" s="268"/>
      <c r="D11" s="269"/>
      <c r="E11" s="270"/>
      <c r="F11" s="329"/>
      <c r="H11" s="271"/>
      <c r="I11" s="1210"/>
      <c r="J11" s="1211"/>
      <c r="K11" s="151"/>
      <c r="L11" s="157"/>
      <c r="M11" s="181"/>
      <c r="N11" s="892"/>
      <c r="O11" s="1221"/>
      <c r="P11" s="1221"/>
      <c r="Q11" s="1221"/>
      <c r="R11" s="1221"/>
      <c r="S11" s="1221"/>
      <c r="T11" s="893"/>
      <c r="U11" s="256"/>
    </row>
    <row r="12" spans="1:21" s="180" customFormat="1" ht="30" customHeight="1" x14ac:dyDescent="0.25">
      <c r="A12" s="169"/>
      <c r="B12" s="273"/>
      <c r="C12" s="173">
        <v>1</v>
      </c>
      <c r="D12" s="173" t="str">
        <f>IF(VLOOKUP(CONCATENATE($C$3,"-",C12),Languages!$A:$D,1,TRUE)=CONCATENATE($C$3,"-",C12),VLOOKUP(CONCATENATE($C$3,"-",C12),Languages!$A:$D,Summary!$C$7,TRUE),NA())</f>
        <v>Haavoittuvuuksien vähentäminen</v>
      </c>
      <c r="E12" s="173"/>
      <c r="F12" s="275"/>
      <c r="G12" s="275"/>
      <c r="H12" s="275"/>
      <c r="I12" s="541"/>
      <c r="J12" s="541"/>
      <c r="K12" s="275"/>
      <c r="L12" s="157"/>
      <c r="M12" s="169"/>
      <c r="N12" s="892"/>
      <c r="O12" s="1221"/>
      <c r="P12" s="1221"/>
      <c r="Q12" s="1221"/>
      <c r="R12" s="1221"/>
      <c r="S12" s="1221"/>
      <c r="T12" s="893"/>
      <c r="U12" s="256"/>
    </row>
    <row r="13" spans="1:21" s="282" customFormat="1" ht="49.95" customHeight="1" x14ac:dyDescent="0.2">
      <c r="A13" s="279"/>
      <c r="B13" s="280"/>
      <c r="C13" s="1212" t="str">
        <f>IF(VLOOKUP(CONCATENATE($C$3,"-",$C12,"-0"),Languages!$A:$D,1,TRUE)=CONCATENATE($C$3,"-",$C12,"-0"),VLOOKUP(CONCATENATE($C$3,"-",$C12,"-0"),Languages!$A:$D,Summary!$C$7,TRUE),NA())</f>
        <v>Haavoittuvuuksien vähentäminen alkaa haavoittuvuustiedon keräämisellä ja analysoinnilla. Haavoittuvuuksia voidaan kartoittaa esimerkiksi automaattisten skannaustyökalujen avulla, verkkojen tunkeutumistestauksilla, kyberharjoituksilla tai auditoinneilla. Haavoittuvuuksien analysoinnissa tulisi ottaa huomioon sekä paikallinen vaikutus (eli haavoittuvuuden mahdollinen vaikutus suojattavaan kohteeseen itseensä), että suojattavan kohteen laajempi merkitys koko toiminnolle. Haavoittuvuuksia voidaan torjua suorittamalla suojaavia toimenpiteitä, seuraamalla uhkatilannetta, asentamalla tietoturvapäivityksiä tai muilla keinoin.</v>
      </c>
      <c r="D13" s="1212"/>
      <c r="E13" s="1212"/>
      <c r="F13" s="1212"/>
      <c r="G13" s="1212"/>
      <c r="H13" s="1212"/>
      <c r="I13" s="1212"/>
      <c r="J13" s="1212"/>
      <c r="K13" s="1212"/>
      <c r="L13" s="157"/>
      <c r="M13" s="279"/>
      <c r="N13" s="892"/>
      <c r="O13" s="1221"/>
      <c r="P13" s="1221"/>
      <c r="Q13" s="1221"/>
      <c r="R13" s="1221"/>
      <c r="S13" s="1221"/>
      <c r="T13" s="893"/>
      <c r="U13" s="256"/>
    </row>
    <row r="14" spans="1:21" s="180" customFormat="1" ht="30" customHeight="1" x14ac:dyDescent="0.25">
      <c r="A14" s="169"/>
      <c r="B14" s="273"/>
      <c r="C14" s="173">
        <v>2</v>
      </c>
      <c r="D14" s="173" t="str">
        <f>IF(VLOOKUP(CONCATENATE($C$3,"-",C14),Languages!$A:$D,1,TRUE)=CONCATENATE($C$3,"-",C14),VLOOKUP(CONCATENATE($C$3,"-",C14),Languages!$A:$D,Summary!$C$7,TRUE),NA())</f>
        <v>Uhkien torjunta ja uhkatiedon jakaminen</v>
      </c>
      <c r="E14" s="173"/>
      <c r="F14" s="296"/>
      <c r="G14" s="296" t="s">
        <v>16</v>
      </c>
      <c r="H14" s="297"/>
      <c r="I14" s="297"/>
      <c r="J14" s="297"/>
      <c r="K14" s="297"/>
      <c r="L14" s="157"/>
      <c r="M14" s="169"/>
      <c r="N14" s="892"/>
      <c r="O14" s="1221"/>
      <c r="P14" s="1221"/>
      <c r="Q14" s="1221"/>
      <c r="R14" s="1221"/>
      <c r="S14" s="1221"/>
      <c r="T14" s="893"/>
      <c r="U14" s="256"/>
    </row>
    <row r="15" spans="1:21" s="282" customFormat="1" ht="65.400000000000006" customHeight="1" x14ac:dyDescent="0.2">
      <c r="A15" s="279"/>
      <c r="B15" s="280"/>
      <c r="C15" s="1223" t="str">
        <f>IF(VLOOKUP(CONCATENATE($C$3,"-",$C14,"-0"),Languages!$A:$D,1,TRUE)=CONCATENATE($C$3,"-",$C14,"-0"),VLOOKUP(CONCATENATE($C$3,"-",$C14,"-0"),Languages!$A:$D,Summary!$C$7,TRUE),NA())</f>
        <v>Uhkien tunnistaminen ja hallinta alkavat relevantin uhkatiedon keräämisellä luotettavista lähteistä, soveltamalla kerättyä tietoa suhteessa organisaation toimintaympäristöön ja reagoimalla niihin uhkiin, jotka voivat uhata palveluiden toimintavarmuutta. Organisaation uhkaprofiili sisältää kuvaukset mahdollisista uhkatekijöistä, mukaan lukien uhkatekijöiden kyvykkyyksistä, tavoitteista ja kohteista. Uhkaprofiilia voidaan käyttää uhkien tarkempaan tunnistamiseen ja sitä voidaan hyödyntää osana riskien analysointia, arviointia [kts. RISK] ja kyberturvallisuuden tilannekuvan muodostamiseen [kts. SITUATION].</v>
      </c>
      <c r="D15" s="1223"/>
      <c r="E15" s="1223"/>
      <c r="F15" s="1223"/>
      <c r="G15" s="1223"/>
      <c r="H15" s="1223"/>
      <c r="I15" s="1223"/>
      <c r="J15" s="1223"/>
      <c r="K15" s="1223"/>
      <c r="L15" s="157"/>
      <c r="M15" s="279"/>
      <c r="N15" s="892"/>
      <c r="O15" s="1221"/>
      <c r="P15" s="1221"/>
      <c r="Q15" s="1221"/>
      <c r="R15" s="1221"/>
      <c r="S15" s="1221"/>
      <c r="T15" s="893"/>
      <c r="U15" s="256"/>
    </row>
    <row r="16" spans="1:21" s="180" customFormat="1" ht="30" customHeight="1" x14ac:dyDescent="0.25">
      <c r="A16" s="169"/>
      <c r="B16" s="273"/>
      <c r="C16" s="173">
        <v>3</v>
      </c>
      <c r="D16" s="173" t="str">
        <f>IF(VLOOKUP(CONCATENATE($C$3,"-",C16),Languages!$A:$D,1,TRUE)=CONCATENATE($C$3,"-",C16),VLOOKUP(CONCATENATE($C$3,"-",C16),Languages!$A:$D,Summary!$C$7,TRUE),NA())</f>
        <v>Yleisiä hallintatoimia</v>
      </c>
      <c r="E16" s="173"/>
      <c r="F16" s="296"/>
      <c r="G16" s="296" t="s">
        <v>16</v>
      </c>
      <c r="H16" s="297"/>
      <c r="I16" s="297"/>
      <c r="J16" s="297"/>
      <c r="K16" s="297"/>
      <c r="L16" s="157"/>
      <c r="M16" s="169"/>
      <c r="N16" s="892"/>
      <c r="O16" s="1221"/>
      <c r="P16" s="1221"/>
      <c r="Q16" s="1221"/>
      <c r="R16" s="1221"/>
      <c r="S16" s="1221"/>
      <c r="T16" s="893"/>
      <c r="U16" s="256"/>
    </row>
    <row r="17" spans="1:21" s="282" customFormat="1" ht="44.4" customHeight="1" x14ac:dyDescent="0.2">
      <c r="A17" s="309"/>
      <c r="B17" s="310"/>
      <c r="C17" s="1223" t="str">
        <f>IF(VLOOKUP(CONCATENATE($C$3,"-",$C16,"-0"),Languages!$A:$D,1,TRUE)=CONCATENATE($C$3,"-",$C16,"-0"),VLOOKUP(CONCATENATE($C$3,"-",$C16,"-0"),Languages!$A:$D,Summary!$C$7,TRUE),NA())</f>
        <v>Yleisillä hallintatoimilla arvioidaan sitä, kuinka syvällisesti osion kyberturvallisuuskäytännöt ovat juurtuneet osaksi organisaation toimintaa. Mitä syvemmin käytännöt ovat osa organisaation päivittäistä tekemistä sitä todennäköisempää on, että organisaatio noudattaa niitä myös kriisitilanteissa ja ajan kuluessa. Toisin sanoen, toiminta säilyy säännöllisenä, toistettavana ja korkealaatuisena.</v>
      </c>
      <c r="D17" s="1223"/>
      <c r="E17" s="1223"/>
      <c r="F17" s="1223"/>
      <c r="G17" s="1223"/>
      <c r="H17" s="1223"/>
      <c r="I17" s="1223"/>
      <c r="J17" s="1223"/>
      <c r="K17" s="1223"/>
      <c r="L17" s="157"/>
      <c r="M17" s="309"/>
      <c r="N17" s="894"/>
      <c r="O17" s="1222"/>
      <c r="P17" s="1222"/>
      <c r="Q17" s="1222"/>
      <c r="R17" s="1222"/>
      <c r="S17" s="1222"/>
      <c r="T17" s="895"/>
      <c r="U17" s="256"/>
    </row>
    <row r="18" spans="1:21" s="282" customFormat="1" ht="18" customHeight="1" x14ac:dyDescent="0.25">
      <c r="A18" s="309"/>
      <c r="B18" s="734"/>
      <c r="C18" s="734"/>
      <c r="D18" s="734"/>
      <c r="E18" s="734"/>
      <c r="F18" s="734"/>
      <c r="G18" s="734"/>
      <c r="H18" s="734"/>
      <c r="I18" s="734"/>
      <c r="J18" s="734"/>
      <c r="K18" s="734"/>
      <c r="L18" s="735"/>
      <c r="M18" s="138"/>
      <c r="N18" s="138"/>
      <c r="O18" s="255"/>
      <c r="P18" s="254"/>
      <c r="Q18" s="855"/>
      <c r="R18" s="254"/>
      <c r="S18" s="254"/>
      <c r="T18" s="138"/>
      <c r="U18" s="138"/>
    </row>
    <row r="19" spans="1:21" s="282" customFormat="1" ht="19.95" customHeight="1" x14ac:dyDescent="0.2">
      <c r="A19" s="309"/>
      <c r="B19" s="723"/>
      <c r="C19" s="721"/>
      <c r="D19" s="721"/>
      <c r="E19" s="721"/>
      <c r="F19" s="721"/>
      <c r="G19" s="721"/>
      <c r="H19" s="721"/>
      <c r="I19" s="721"/>
      <c r="J19" s="721"/>
      <c r="K19" s="721"/>
      <c r="L19" s="722"/>
      <c r="M19" s="256"/>
      <c r="N19" s="504" t="str">
        <f>IF(VLOOKUP("KM116",Languages!$A:$D,1,TRUE)="KM116",VLOOKUP("KM116",Languages!$A:$D,Summary!$C$7,TRUE),NA())</f>
        <v>EDELLINEN ARVIOINTI</v>
      </c>
      <c r="O19" s="442"/>
      <c r="P19" s="259"/>
      <c r="Q19" s="856" t="str">
        <f>IF(VLOOKUP("KM110",Languages!$A:$D,1,TRUE)="KM110",VLOOKUP("KM110",Languages!$A:$D,Summary!$C$7,TRUE),NA())</f>
        <v>Päivämäärä</v>
      </c>
      <c r="R19" s="259"/>
      <c r="S19" s="259"/>
      <c r="T19" s="150"/>
      <c r="U19" s="256"/>
    </row>
    <row r="20" spans="1:21" s="180" customFormat="1" ht="19.95" customHeight="1" x14ac:dyDescent="0.25">
      <c r="A20" s="169"/>
      <c r="B20" s="273"/>
      <c r="C20" s="173">
        <v>1</v>
      </c>
      <c r="D20" s="173" t="str">
        <f>IF(VLOOKUP(CONCATENATE($C$3,"-",C20),Languages!$A:$D,1,TRUE)=CONCATENATE($C$3,"-",C20),VLOOKUP(CONCATENATE($C$3,"-",C20),Languages!$A:$D,Summary!$C$7,TRUE),NA())</f>
        <v>Haavoittuvuuksien vähentäminen</v>
      </c>
      <c r="E20" s="173"/>
      <c r="F20" s="275"/>
      <c r="G20" s="275"/>
      <c r="H20" s="275"/>
      <c r="I20" s="541"/>
      <c r="J20" s="541"/>
      <c r="K20" s="275"/>
      <c r="L20" s="157"/>
      <c r="M20" s="309"/>
      <c r="N20" s="310"/>
      <c r="O20" s="443"/>
      <c r="P20" s="438"/>
      <c r="Q20" s="781"/>
      <c r="R20" s="854"/>
      <c r="S20" s="854"/>
      <c r="T20" s="281"/>
      <c r="U20" s="309"/>
    </row>
    <row r="21" spans="1:21" s="289" customFormat="1" ht="19.95" customHeight="1" x14ac:dyDescent="0.2">
      <c r="A21" s="308"/>
      <c r="B21" s="283"/>
      <c r="C21" s="284" t="str">
        <f>IF(VLOOKUP("GEN-LEVEL",Languages!$A:$D,1,TRUE)="GEN-LEVEL",VLOOKUP("GEN-LEVEL",Languages!$A:$D,Summary!$C$7,TRUE),NA())</f>
        <v>Taso</v>
      </c>
      <c r="D21" s="284"/>
      <c r="E21" s="285" t="str">
        <f>IF(VLOOKUP("GEN-PRACTICE",Languages!$A:$D,1,TRUE)="GEN-PRACTICE",VLOOKUP("GEN-PRACTICE",Languages!$A:$D,Summary!$C$7,TRUE),NA())</f>
        <v>Käytäntö</v>
      </c>
      <c r="F21" s="286"/>
      <c r="G21" s="1003" t="str">
        <f>IF(VLOOKUP("GEN-ANSWER",Languages!$A:$D,1,TRUE)="GEN-ANSWER",VLOOKUP("GEN-ANSWER",Languages!$A:$D,Summary!$C$7,TRUE),NA())</f>
        <v>Vastaus</v>
      </c>
      <c r="H21" s="1004" t="str">
        <f>IF(VLOOKUP("KM112",Languages!$A:$D,1,TRUE)="KM112",VLOOKUP("KM112",Languages!$A:$D,Summary!$C$7,TRUE),NA())</f>
        <v>Kommentit</v>
      </c>
      <c r="I21" s="1004" t="str">
        <f>IF(VLOOKUP("KM113",Languages!$A:$D,1,TRUE)="KM113",VLOOKUP("KM113",Languages!$A:$D,Summary!$C$7,TRUE),NA())</f>
        <v>Sisäinen viittaus</v>
      </c>
      <c r="J21" s="1004" t="str">
        <f>IF(VLOOKUP("KM114",Languages!$A:$D,1,TRUE)="KM114",VLOOKUP("KM114",Languages!$A:$D,Summary!$C$7,TRUE),NA())</f>
        <v>Ulkoinen viittaus</v>
      </c>
      <c r="K21" s="1004" t="str">
        <f>IF(VLOOKUP("KM115",Languages!$A:$D,1,TRUE)="KM115",VLOOKUP("KM115",Languages!$A:$D,Summary!$C$7,TRUE),NA())</f>
        <v>Kehityskohde</v>
      </c>
      <c r="L21" s="287"/>
      <c r="M21" s="288"/>
      <c r="N21" s="283"/>
      <c r="O21" s="503" t="str">
        <f>IF(VLOOKUP("GEN-ANSWER",Languages!$A:$D,1,TRUE)="GEN-ANSWER",VLOOKUP("GEN-ANSWER",Languages!$A:$D,Summary!$C$7,TRUE),NA())</f>
        <v>Vastaus</v>
      </c>
      <c r="P21" s="503" t="str">
        <f>IF(VLOOKUP("KM112",Languages!$A:$D,1,TRUE)="KM112",VLOOKUP("KM112",Languages!$A:$D,Summary!$C$7,TRUE),NA())</f>
        <v>Kommentit</v>
      </c>
      <c r="Q21" s="503" t="str">
        <f>IF(VLOOKUP("KM113",Languages!$A:$D,1,TRUE)="KM113",VLOOKUP("KM113",Languages!$A:$D,Summary!$C$7,TRUE),NA())</f>
        <v>Sisäinen viittaus</v>
      </c>
      <c r="R21" s="503" t="str">
        <f>IF(VLOOKUP("KM114",Languages!$A:$D,1,TRUE)="KM114",VLOOKUP("KM114",Languages!$A:$D,Summary!$C$7,TRUE),NA())</f>
        <v>Ulkoinen viittaus</v>
      </c>
      <c r="S21" s="503" t="str">
        <f>IF(VLOOKUP("KM115",Languages!$A:$D,1,TRUE)="KM115",VLOOKUP("KM115",Languages!$A:$D,Summary!$C$7,TRUE),NA())</f>
        <v>Kehityskohde</v>
      </c>
      <c r="T21" s="287"/>
      <c r="U21" s="288"/>
    </row>
    <row r="22" spans="1:21" s="293" customFormat="1" ht="47.4" customHeight="1" x14ac:dyDescent="0.2">
      <c r="A22" s="279"/>
      <c r="B22" s="1204"/>
      <c r="C22" s="1239">
        <v>1</v>
      </c>
      <c r="D22" s="397" t="s">
        <v>5</v>
      </c>
      <c r="E22" s="507" t="str">
        <f>IF(VLOOKUP(CONCATENATE($C$3,"-",$D22),Languages!$A:$D,1,TRUE)=CONCATENATE($C$3,"-",$D22),VLOOKUP(CONCATENATE($C$3,"-",$D22),Languages!$A:$D,Summary!$C$7,TRUE),NA())</f>
        <v>Haavoittuvuuksien tunnistamisen tueksi on tunnistettu soveltuvia tietolähteitä. Tasolla 1 tämän ei tarvitse olla systemaattista ja säännöllistä.</v>
      </c>
      <c r="F22" s="396">
        <f t="shared" ref="F22:F33" si="0">IFERROR(INT(LEFT($G22,1)),0)</f>
        <v>0</v>
      </c>
      <c r="G22" s="485"/>
      <c r="H22" s="486"/>
      <c r="I22" s="486"/>
      <c r="J22" s="486"/>
      <c r="K22" s="487"/>
      <c r="L22" s="157"/>
      <c r="M22" s="279"/>
      <c r="N22" s="1204"/>
      <c r="O22" s="988" t="str">
        <f>VLOOKUP(VLOOKUP($C$3&amp;"-"&amp;$D22,Import!$C:$D,2,FALSE),Parameters!$C$18:$F$22,Summary!$C$7,FALSE)</f>
        <v xml:space="preserve">0 - Vastaus puuttuu </v>
      </c>
      <c r="P22" s="1032" t="str">
        <f>IF(VLOOKUP($C$3&amp;"-"&amp;$D22,Import!$C:$H,3,FALSE)=0,"",VLOOKUP($C$3&amp;"-"&amp;$D22,Import!$C:$H,3,FALSE))</f>
        <v/>
      </c>
      <c r="Q22" s="1032" t="str">
        <f>IF(VLOOKUP($C$3&amp;"-"&amp;$D22,Import!$C:$H,4,FALSE)=0,"",VLOOKUP($C$3&amp;"-"&amp;$D22,Import!$C:$H,4,FALSE))</f>
        <v/>
      </c>
      <c r="R22" s="1032" t="str">
        <f>IF(VLOOKUP($C$3&amp;"-"&amp;$D22,Import!$C:$H,5,FALSE)=0,"",VLOOKUP($C$3&amp;"-"&amp;$D22,Import!$C:$H,5,FALSE))</f>
        <v/>
      </c>
      <c r="S22" s="1033" t="str">
        <f>IF(VLOOKUP($C$3&amp;"-"&amp;$D22,Import!$C:$H,6,FALSE)=0,"",VLOOKUP($C$3&amp;"-"&amp;$D22,Import!$C:$H,6,FALSE))</f>
        <v/>
      </c>
      <c r="T22" s="157"/>
      <c r="U22" s="256"/>
    </row>
    <row r="23" spans="1:21" s="293" customFormat="1" ht="34.950000000000003" customHeight="1" x14ac:dyDescent="0.2">
      <c r="A23" s="279"/>
      <c r="B23" s="1204"/>
      <c r="C23" s="1240"/>
      <c r="D23" s="290" t="s">
        <v>7</v>
      </c>
      <c r="E23" s="508" t="str">
        <f>IF(VLOOKUP(CONCATENATE($C$3,"-",$D23),Languages!$A:$D,1,TRUE)=CONCATENATE($C$3,"-",$D23),VLOOKUP(CONCATENATE($C$3,"-",$D23),Languages!$A:$D,Summary!$C$7,TRUE),NA())</f>
        <v>Haavoittuvuustietoa kerätään ja sitä tulkitaan toimintoa varten. Tasolla 1 tämän ei tarvitse olla systemaattista ja säännöllistä.</v>
      </c>
      <c r="F23" s="291">
        <f t="shared" si="0"/>
        <v>0</v>
      </c>
      <c r="G23" s="311"/>
      <c r="H23" s="480"/>
      <c r="I23" s="480"/>
      <c r="J23" s="480"/>
      <c r="K23" s="488"/>
      <c r="L23" s="157"/>
      <c r="M23" s="279"/>
      <c r="N23" s="1204"/>
      <c r="O23" s="991" t="str">
        <f>VLOOKUP(VLOOKUP($C$3&amp;"-"&amp;$D23,Import!$C:$D,2,FALSE),Parameters!$C$18:$F$22,Summary!$C$7,FALSE)</f>
        <v xml:space="preserve">0 - Vastaus puuttuu </v>
      </c>
      <c r="P23" s="1015" t="str">
        <f>IF(VLOOKUP($C$3&amp;"-"&amp;$D23,Import!$C:$H,3,FALSE)=0,"",VLOOKUP($C$3&amp;"-"&amp;$D23,Import!$C:$H,3,FALSE))</f>
        <v/>
      </c>
      <c r="Q23" s="1015" t="str">
        <f>IF(VLOOKUP($C$3&amp;"-"&amp;$D23,Import!$C:$H,4,FALSE)=0,"",VLOOKUP($C$3&amp;"-"&amp;$D23,Import!$C:$H,4,FALSE))</f>
        <v/>
      </c>
      <c r="R23" s="1015" t="str">
        <f>IF(VLOOKUP($C$3&amp;"-"&amp;$D23,Import!$C:$H,5,FALSE)=0,"",VLOOKUP($C$3&amp;"-"&amp;$D23,Import!$C:$H,5,FALSE))</f>
        <v/>
      </c>
      <c r="S23" s="1016" t="str">
        <f>IF(VLOOKUP($C$3&amp;"-"&amp;$D23,Import!$C:$H,6,FALSE)=0,"",VLOOKUP($C$3&amp;"-"&amp;$D23,Import!$C:$H,6,FALSE))</f>
        <v/>
      </c>
      <c r="T23" s="157"/>
      <c r="U23" s="256"/>
    </row>
    <row r="24" spans="1:21" s="293" customFormat="1" ht="46.2" customHeight="1" x14ac:dyDescent="0.2">
      <c r="A24" s="279"/>
      <c r="B24" s="1204"/>
      <c r="C24" s="1240"/>
      <c r="D24" s="290" t="s">
        <v>8</v>
      </c>
      <c r="E24" s="508" t="str">
        <f>IF(VLOOKUP(CONCATENATE($C$3,"-",$D24),Languages!$A:$D,1,TRUE)=CONCATENATE($C$3,"-",$D24),VLOOKUP(CONCATENATE($C$3,"-",$D24),Languages!$A:$D,Summary!$C$7,TRUE),NA())</f>
        <v>Haavoittuvuusarviointeja suoritetaan. Tasolla 1 tämän ei tarvitse olla systemaattista ja säännöllistä.</v>
      </c>
      <c r="F24" s="291">
        <f t="shared" si="0"/>
        <v>0</v>
      </c>
      <c r="G24" s="311"/>
      <c r="H24" s="480"/>
      <c r="I24" s="480"/>
      <c r="J24" s="480"/>
      <c r="K24" s="488"/>
      <c r="L24" s="157"/>
      <c r="M24" s="279"/>
      <c r="N24" s="1204"/>
      <c r="O24" s="991" t="str">
        <f>VLOOKUP(VLOOKUP($C$3&amp;"-"&amp;$D24,Import!$C:$D,2,FALSE),Parameters!$C$18:$F$22,Summary!$C$7,FALSE)</f>
        <v xml:space="preserve">0 - Vastaus puuttuu </v>
      </c>
      <c r="P24" s="1015" t="str">
        <f>IF(VLOOKUP($C$3&amp;"-"&amp;$D24,Import!$C:$H,3,FALSE)=0,"",VLOOKUP($C$3&amp;"-"&amp;$D24,Import!$C:$H,3,FALSE))</f>
        <v/>
      </c>
      <c r="Q24" s="1015" t="str">
        <f>IF(VLOOKUP($C$3&amp;"-"&amp;$D24,Import!$C:$H,4,FALSE)=0,"",VLOOKUP($C$3&amp;"-"&amp;$D24,Import!$C:$H,4,FALSE))</f>
        <v/>
      </c>
      <c r="R24" s="1015" t="str">
        <f>IF(VLOOKUP($C$3&amp;"-"&amp;$D24,Import!$C:$H,5,FALSE)=0,"",VLOOKUP($C$3&amp;"-"&amp;$D24,Import!$C:$H,5,FALSE))</f>
        <v/>
      </c>
      <c r="S24" s="1016" t="str">
        <f>IF(VLOOKUP($C$3&amp;"-"&amp;$D24,Import!$C:$H,6,FALSE)=0,"",VLOOKUP($C$3&amp;"-"&amp;$D24,Import!$C:$H,6,FALSE))</f>
        <v/>
      </c>
      <c r="T24" s="157"/>
      <c r="U24" s="256"/>
    </row>
    <row r="25" spans="1:21" s="293" customFormat="1" ht="63" customHeight="1" x14ac:dyDescent="0.2">
      <c r="A25" s="279"/>
      <c r="B25" s="1204"/>
      <c r="C25" s="1241"/>
      <c r="D25" s="418" t="s">
        <v>9</v>
      </c>
      <c r="E25" s="512" t="str">
        <f>IF(VLOOKUP(CONCATENATE($C$3,"-",$D25),Languages!$A:$D,1,TRUE)=CONCATENATE($C$3,"-",$D25),VLOOKUP(CONCATENATE($C$3,"-",$D25),Languages!$A:$D,Summary!$C$7,TRUE),NA())</f>
        <v>Toiminnon kannalta olennaisiin haavoittuvuuksiin puututaan (esimerkiksi lisäämällä valvontaa tai asentamalla korjauspäivityksiä). Tasolla 1 tämän ei tarvitse olla systemaattista ja säännöllistä.</v>
      </c>
      <c r="F25" s="403">
        <f t="shared" si="0"/>
        <v>0</v>
      </c>
      <c r="G25" s="489"/>
      <c r="H25" s="481"/>
      <c r="I25" s="481"/>
      <c r="J25" s="481"/>
      <c r="K25" s="490"/>
      <c r="L25" s="157"/>
      <c r="M25" s="279"/>
      <c r="N25" s="1204"/>
      <c r="O25" s="996" t="str">
        <f>VLOOKUP(VLOOKUP($C$3&amp;"-"&amp;$D25,Import!$C:$D,2,FALSE),Parameters!$C$18:$F$22,Summary!$C$7,FALSE)</f>
        <v xml:space="preserve">0 - Vastaus puuttuu </v>
      </c>
      <c r="P25" s="1034" t="str">
        <f>IF(VLOOKUP($C$3&amp;"-"&amp;$D25,Import!$C:$H,3,FALSE)=0,"",VLOOKUP($C$3&amp;"-"&amp;$D25,Import!$C:$H,3,FALSE))</f>
        <v/>
      </c>
      <c r="Q25" s="1034" t="str">
        <f>IF(VLOOKUP($C$3&amp;"-"&amp;$D25,Import!$C:$H,4,FALSE)=0,"",VLOOKUP($C$3&amp;"-"&amp;$D25,Import!$C:$H,4,FALSE))</f>
        <v/>
      </c>
      <c r="R25" s="1034" t="str">
        <f>IF(VLOOKUP($C$3&amp;"-"&amp;$D25,Import!$C:$H,5,FALSE)=0,"",VLOOKUP($C$3&amp;"-"&amp;$D25,Import!$C:$H,5,FALSE))</f>
        <v/>
      </c>
      <c r="S25" s="1035" t="str">
        <f>IF(VLOOKUP($C$3&amp;"-"&amp;$D25,Import!$C:$H,6,FALSE)=0,"",VLOOKUP($C$3&amp;"-"&amp;$D25,Import!$C:$H,6,FALSE))</f>
        <v/>
      </c>
      <c r="T25" s="157"/>
      <c r="U25" s="256"/>
    </row>
    <row r="26" spans="1:21" s="293" customFormat="1" ht="46.8" customHeight="1" x14ac:dyDescent="0.2">
      <c r="A26" s="279"/>
      <c r="B26" s="1204"/>
      <c r="C26" s="1242">
        <v>2</v>
      </c>
      <c r="D26" s="399" t="s">
        <v>10</v>
      </c>
      <c r="E26" s="511" t="str">
        <f>IF(VLOOKUP(CONCATENATE($C$3,"-",$D26),Languages!$A:$D,1,TRUE)=CONCATENATE($C$3,"-",$D26),VLOOKUP(CONCATENATE($C$3,"-",$D26),Languages!$A:$D,Summary!$C$7,TRUE),NA())</f>
        <v>Haavoittuvuustiedon lähteet kattavat korkean prioriteetin laitteet ja ohjelmistot [kts. ASSET-1d] ja näitä tietolähteitä seurataan säännöllisesti.</v>
      </c>
      <c r="F26" s="396">
        <f t="shared" si="0"/>
        <v>0</v>
      </c>
      <c r="G26" s="485"/>
      <c r="H26" s="482"/>
      <c r="I26" s="482"/>
      <c r="J26" s="482"/>
      <c r="K26" s="491"/>
      <c r="L26" s="157"/>
      <c r="M26" s="279"/>
      <c r="N26" s="1204"/>
      <c r="O26" s="988" t="str">
        <f>VLOOKUP(VLOOKUP($C$3&amp;"-"&amp;$D26,Import!$C:$D,2,FALSE),Parameters!$C$18:$F$22,Summary!$C$7,FALSE)</f>
        <v xml:space="preserve">0 - Vastaus puuttuu </v>
      </c>
      <c r="P26" s="1022" t="str">
        <f>IF(VLOOKUP($C$3&amp;"-"&amp;$D26,Import!$C:$H,3,FALSE)=0,"",VLOOKUP($C$3&amp;"-"&amp;$D26,Import!$C:$H,3,FALSE))</f>
        <v/>
      </c>
      <c r="Q26" s="1022" t="str">
        <f>IF(VLOOKUP($C$3&amp;"-"&amp;$D26,Import!$C:$H,4,FALSE)=0,"",VLOOKUP($C$3&amp;"-"&amp;$D26,Import!$C:$H,4,FALSE))</f>
        <v/>
      </c>
      <c r="R26" s="1022" t="str">
        <f>IF(VLOOKUP($C$3&amp;"-"&amp;$D26,Import!$C:$H,5,FALSE)=0,"",VLOOKUP($C$3&amp;"-"&amp;$D26,Import!$C:$H,5,FALSE))</f>
        <v/>
      </c>
      <c r="S26" s="1023" t="str">
        <f>IF(VLOOKUP($C$3&amp;"-"&amp;$D26,Import!$C:$H,6,FALSE)=0,"",VLOOKUP($C$3&amp;"-"&amp;$D26,Import!$C:$H,6,FALSE))</f>
        <v/>
      </c>
      <c r="T26" s="157"/>
      <c r="U26" s="256"/>
    </row>
    <row r="27" spans="1:21" s="293" customFormat="1" ht="47.4" customHeight="1" x14ac:dyDescent="0.2">
      <c r="A27" s="279"/>
      <c r="B27" s="1204"/>
      <c r="C27" s="1243"/>
      <c r="D27" s="294" t="s">
        <v>11</v>
      </c>
      <c r="E27" s="509" t="str">
        <f>IF(VLOOKUP(CONCATENATE($C$3,"-",$D27),Languages!$A:$D,1,TRUE)=CONCATENATE($C$3,"-",$D27),VLOOKUP(CONCATENATE($C$3,"-",$D27),Languages!$A:$D,Summary!$C$7,TRUE),NA())</f>
        <v>Haavoittuvuusarviointeja suoritetaan aika ajoin ja määriteltyjen tilanteiden kuten järjestelmämuutosten tai ulkoisten tapahtumien yhteydessä.</v>
      </c>
      <c r="F27" s="291">
        <f t="shared" si="0"/>
        <v>0</v>
      </c>
      <c r="G27" s="311"/>
      <c r="H27" s="483"/>
      <c r="I27" s="483"/>
      <c r="J27" s="483"/>
      <c r="K27" s="492"/>
      <c r="L27" s="157"/>
      <c r="M27" s="279"/>
      <c r="N27" s="1204"/>
      <c r="O27" s="991" t="str">
        <f>VLOOKUP(VLOOKUP($C$3&amp;"-"&amp;$D27,Import!$C:$D,2,FALSE),Parameters!$C$18:$F$22,Summary!$C$7,FALSE)</f>
        <v xml:space="preserve">0 - Vastaus puuttuu </v>
      </c>
      <c r="P27" s="1017" t="str">
        <f>IF(VLOOKUP($C$3&amp;"-"&amp;$D27,Import!$C:$H,3,FALSE)=0,"",VLOOKUP($C$3&amp;"-"&amp;$D27,Import!$C:$H,3,FALSE))</f>
        <v/>
      </c>
      <c r="Q27" s="1017" t="str">
        <f>IF(VLOOKUP($C$3&amp;"-"&amp;$D27,Import!$C:$H,4,FALSE)=0,"",VLOOKUP($C$3&amp;"-"&amp;$D27,Import!$C:$H,4,FALSE))</f>
        <v/>
      </c>
      <c r="R27" s="1017" t="str">
        <f>IF(VLOOKUP($C$3&amp;"-"&amp;$D27,Import!$C:$H,5,FALSE)=0,"",VLOOKUP($C$3&amp;"-"&amp;$D27,Import!$C:$H,5,FALSE))</f>
        <v/>
      </c>
      <c r="S27" s="1018" t="str">
        <f>IF(VLOOKUP($C$3&amp;"-"&amp;$D27,Import!$C:$H,6,FALSE)=0,"",VLOOKUP($C$3&amp;"-"&amp;$D27,Import!$C:$H,6,FALSE))</f>
        <v/>
      </c>
      <c r="T27" s="157"/>
      <c r="U27" s="256"/>
    </row>
    <row r="28" spans="1:21" s="293" customFormat="1" ht="34.950000000000003" customHeight="1" x14ac:dyDescent="0.2">
      <c r="A28" s="279"/>
      <c r="B28" s="1200"/>
      <c r="C28" s="1243"/>
      <c r="D28" s="294" t="s">
        <v>12</v>
      </c>
      <c r="E28" s="509" t="str">
        <f>IF(VLOOKUP(CONCATENATE($C$3,"-",$D28),Languages!$A:$D,1,TRUE)=CONCATENATE($C$3,"-",$D28),VLOOKUP(CONCATENATE($C$3,"-",$D28),Languages!$A:$D,Summary!$C$7,TRUE),NA())</f>
        <v>Tunnistetut haavoittuvuudet analysoidaan, priorisoidaan ja niihin puututaan tilanteen edellyttämin keinoin.</v>
      </c>
      <c r="F28" s="291">
        <f t="shared" si="0"/>
        <v>0</v>
      </c>
      <c r="G28" s="311"/>
      <c r="H28" s="483"/>
      <c r="I28" s="483"/>
      <c r="J28" s="483"/>
      <c r="K28" s="492"/>
      <c r="L28" s="157"/>
      <c r="M28" s="279"/>
      <c r="N28" s="1200"/>
      <c r="O28" s="991" t="str">
        <f>VLOOKUP(VLOOKUP($C$3&amp;"-"&amp;$D28,Import!$C:$D,2,FALSE),Parameters!$C$18:$F$22,Summary!$C$7,FALSE)</f>
        <v xml:space="preserve">0 - Vastaus puuttuu </v>
      </c>
      <c r="P28" s="1017" t="str">
        <f>IF(VLOOKUP($C$3&amp;"-"&amp;$D28,Import!$C:$H,3,FALSE)=0,"",VLOOKUP($C$3&amp;"-"&amp;$D28,Import!$C:$H,3,FALSE))</f>
        <v/>
      </c>
      <c r="Q28" s="1017" t="str">
        <f>IF(VLOOKUP($C$3&amp;"-"&amp;$D28,Import!$C:$H,4,FALSE)=0,"",VLOOKUP($C$3&amp;"-"&amp;$D28,Import!$C:$H,4,FALSE))</f>
        <v/>
      </c>
      <c r="R28" s="1017" t="str">
        <f>IF(VLOOKUP($C$3&amp;"-"&amp;$D28,Import!$C:$H,5,FALSE)=0,"",VLOOKUP($C$3&amp;"-"&amp;$D28,Import!$C:$H,5,FALSE))</f>
        <v/>
      </c>
      <c r="S28" s="1018" t="str">
        <f>IF(VLOOKUP($C$3&amp;"-"&amp;$D28,Import!$C:$H,6,FALSE)=0,"",VLOOKUP($C$3&amp;"-"&amp;$D28,Import!$C:$H,6,FALSE))</f>
        <v/>
      </c>
      <c r="T28" s="157"/>
      <c r="U28" s="256"/>
    </row>
    <row r="29" spans="1:21" s="293" customFormat="1" ht="34.950000000000003" customHeight="1" x14ac:dyDescent="0.2">
      <c r="A29" s="279"/>
      <c r="B29" s="1200"/>
      <c r="C29" s="1243"/>
      <c r="D29" s="294" t="s">
        <v>13</v>
      </c>
      <c r="E29" s="509" t="str">
        <f>IF(VLOOKUP(CONCATENATE($C$3,"-",$D29),Languages!$A:$D,1,TRUE)=CONCATENATE($C$3,"-",$D29),VLOOKUP(CONCATENATE($C$3,"-",$D29),Languages!$A:$D,Summary!$C$7,TRUE),NA())</f>
        <v>Ohjelmistokorjausten vaikutus toiminnon operatiiviseen toimintaan arvioidaan ennen korjausten asentamista.</v>
      </c>
      <c r="F29" s="291">
        <f t="shared" si="0"/>
        <v>0</v>
      </c>
      <c r="G29" s="311"/>
      <c r="H29" s="483"/>
      <c r="I29" s="483"/>
      <c r="J29" s="483"/>
      <c r="K29" s="492"/>
      <c r="L29" s="157"/>
      <c r="M29" s="279"/>
      <c r="N29" s="1200"/>
      <c r="O29" s="991" t="str">
        <f>VLOOKUP(VLOOKUP($C$3&amp;"-"&amp;$D29,Import!$C:$D,2,FALSE),Parameters!$C$18:$F$22,Summary!$C$7,FALSE)</f>
        <v xml:space="preserve">0 - Vastaus puuttuu </v>
      </c>
      <c r="P29" s="1017" t="str">
        <f>IF(VLOOKUP($C$3&amp;"-"&amp;$D29,Import!$C:$H,3,FALSE)=0,"",VLOOKUP($C$3&amp;"-"&amp;$D29,Import!$C:$H,3,FALSE))</f>
        <v/>
      </c>
      <c r="Q29" s="1017" t="str">
        <f>IF(VLOOKUP($C$3&amp;"-"&amp;$D29,Import!$C:$H,4,FALSE)=0,"",VLOOKUP($C$3&amp;"-"&amp;$D29,Import!$C:$H,4,FALSE))</f>
        <v/>
      </c>
      <c r="R29" s="1017" t="str">
        <f>IF(VLOOKUP($C$3&amp;"-"&amp;$D29,Import!$C:$H,5,FALSE)=0,"",VLOOKUP($C$3&amp;"-"&amp;$D29,Import!$C:$H,5,FALSE))</f>
        <v/>
      </c>
      <c r="S29" s="1018" t="str">
        <f>IF(VLOOKUP($C$3&amp;"-"&amp;$D29,Import!$C:$H,6,FALSE)=0,"",VLOOKUP($C$3&amp;"-"&amp;$D29,Import!$C:$H,6,FALSE))</f>
        <v/>
      </c>
      <c r="T29" s="157"/>
      <c r="U29" s="256"/>
    </row>
    <row r="30" spans="1:21" s="293" customFormat="1" ht="34.950000000000003" customHeight="1" x14ac:dyDescent="0.2">
      <c r="A30" s="279"/>
      <c r="B30" s="1200"/>
      <c r="C30" s="1244"/>
      <c r="D30" s="402" t="s">
        <v>14</v>
      </c>
      <c r="E30" s="512" t="str">
        <f>IF(VLOOKUP(CONCATENATE($C$3,"-",$D30),Languages!$A:$D,1,TRUE)=CONCATENATE($C$3,"-",$D30),VLOOKUP(CONCATENATE($C$3,"-",$D30),Languages!$A:$D,Summary!$C$7,TRUE),NA())</f>
        <v>Tietoa löydetyistä haavoittuvuuksista jaetaan organisaation määrittelemille sidosryhmille.</v>
      </c>
      <c r="F30" s="403">
        <f t="shared" si="0"/>
        <v>0</v>
      </c>
      <c r="G30" s="489"/>
      <c r="H30" s="484"/>
      <c r="I30" s="484"/>
      <c r="J30" s="484"/>
      <c r="K30" s="493"/>
      <c r="L30" s="157"/>
      <c r="M30" s="279"/>
      <c r="N30" s="1200"/>
      <c r="O30" s="996" t="str">
        <f>VLOOKUP(VLOOKUP($C$3&amp;"-"&amp;$D30,Import!$C:$D,2,FALSE),Parameters!$C$18:$F$22,Summary!$C$7,FALSE)</f>
        <v xml:space="preserve">0 - Vastaus puuttuu </v>
      </c>
      <c r="P30" s="1024" t="str">
        <f>IF(VLOOKUP($C$3&amp;"-"&amp;$D30,Import!$C:$H,3,FALSE)=0,"",VLOOKUP($C$3&amp;"-"&amp;$D30,Import!$C:$H,3,FALSE))</f>
        <v/>
      </c>
      <c r="Q30" s="1024" t="str">
        <f>IF(VLOOKUP($C$3&amp;"-"&amp;$D30,Import!$C:$H,4,FALSE)=0,"",VLOOKUP($C$3&amp;"-"&amp;$D30,Import!$C:$H,4,FALSE))</f>
        <v/>
      </c>
      <c r="R30" s="1024" t="str">
        <f>IF(VLOOKUP($C$3&amp;"-"&amp;$D30,Import!$C:$H,5,FALSE)=0,"",VLOOKUP($C$3&amp;"-"&amp;$D30,Import!$C:$H,5,FALSE))</f>
        <v/>
      </c>
      <c r="S30" s="1025" t="str">
        <f>IF(VLOOKUP($C$3&amp;"-"&amp;$D30,Import!$C:$H,6,FALSE)=0,"",VLOOKUP($C$3&amp;"-"&amp;$D30,Import!$C:$H,6,FALSE))</f>
        <v/>
      </c>
      <c r="T30" s="157"/>
      <c r="U30" s="256"/>
    </row>
    <row r="31" spans="1:21" s="293" customFormat="1" ht="34.950000000000003" customHeight="1" x14ac:dyDescent="0.2">
      <c r="A31" s="279"/>
      <c r="B31" s="1200"/>
      <c r="C31" s="1245">
        <v>3</v>
      </c>
      <c r="D31" s="399" t="s">
        <v>15</v>
      </c>
      <c r="E31" s="511" t="str">
        <f>IF(VLOOKUP(CONCATENATE($C$3,"-",$D31),Languages!$A:$D,1,TRUE)=CONCATENATE($C$3,"-",$D31),VLOOKUP(CONCATENATE($C$3,"-",$D31),Languages!$A:$D,Summary!$C$7,TRUE),NA())</f>
        <v>Haavoittuvuusarvioinnit suorittaa toiminnon operatiivisesta toiminnasta irrallaan oleva riippumaton taho.</v>
      </c>
      <c r="F31" s="396">
        <f t="shared" si="0"/>
        <v>0</v>
      </c>
      <c r="G31" s="485"/>
      <c r="H31" s="482"/>
      <c r="I31" s="482"/>
      <c r="J31" s="482"/>
      <c r="K31" s="491"/>
      <c r="L31" s="157"/>
      <c r="M31" s="279"/>
      <c r="N31" s="1200"/>
      <c r="O31" s="988" t="str">
        <f>VLOOKUP(VLOOKUP($C$3&amp;"-"&amp;$D31,Import!$C:$D,2,FALSE),Parameters!$C$18:$F$22,Summary!$C$7,FALSE)</f>
        <v xml:space="preserve">0 - Vastaus puuttuu </v>
      </c>
      <c r="P31" s="1022" t="str">
        <f>IF(VLOOKUP($C$3&amp;"-"&amp;$D31,Import!$C:$H,3,FALSE)=0,"",VLOOKUP($C$3&amp;"-"&amp;$D31,Import!$C:$H,3,FALSE))</f>
        <v/>
      </c>
      <c r="Q31" s="1022" t="str">
        <f>IF(VLOOKUP($C$3&amp;"-"&amp;$D31,Import!$C:$H,4,FALSE)=0,"",VLOOKUP($C$3&amp;"-"&amp;$D31,Import!$C:$H,4,FALSE))</f>
        <v/>
      </c>
      <c r="R31" s="1022" t="str">
        <f>IF(VLOOKUP($C$3&amp;"-"&amp;$D31,Import!$C:$H,5,FALSE)=0,"",VLOOKUP($C$3&amp;"-"&amp;$D31,Import!$C:$H,5,FALSE))</f>
        <v/>
      </c>
      <c r="S31" s="1023" t="str">
        <f>IF(VLOOKUP($C$3&amp;"-"&amp;$D31,Import!$C:$H,6,FALSE)=0,"",VLOOKUP($C$3&amp;"-"&amp;$D31,Import!$C:$H,6,FALSE))</f>
        <v/>
      </c>
      <c r="T31" s="157"/>
      <c r="U31" s="256"/>
    </row>
    <row r="32" spans="1:21" s="293" customFormat="1" ht="46.8" customHeight="1" x14ac:dyDescent="0.2">
      <c r="A32" s="279"/>
      <c r="B32" s="1200"/>
      <c r="C32" s="1246"/>
      <c r="D32" s="294" t="s">
        <v>194</v>
      </c>
      <c r="E32" s="509" t="str">
        <f>IF(VLOOKUP(CONCATENATE($C$3,"-",$D32),Languages!$A:$D,1,TRUE)=CONCATENATE($C$3,"-",$D32),VLOOKUP(CONCATENATE($C$3,"-",$D32),Languages!$A:$D,Summary!$C$7,TRUE),NA())</f>
        <v>Tunnistetut haavoittuvuudet, joihin liittyy korkeampi riski, ohjataan eteenpäin organisaation riskienhallintaprosessiin toimenpiteitä varten.</v>
      </c>
      <c r="F32" s="291">
        <f t="shared" si="0"/>
        <v>0</v>
      </c>
      <c r="G32" s="311"/>
      <c r="H32" s="483"/>
      <c r="I32" s="483"/>
      <c r="J32" s="483"/>
      <c r="K32" s="492"/>
      <c r="L32" s="157"/>
      <c r="M32" s="279"/>
      <c r="N32" s="1200"/>
      <c r="O32" s="991" t="str">
        <f>VLOOKUP(VLOOKUP($C$3&amp;"-"&amp;$D32,Import!$C:$D,2,FALSE),Parameters!$C$18:$F$22,Summary!$C$7,FALSE)</f>
        <v xml:space="preserve">0 - Vastaus puuttuu </v>
      </c>
      <c r="P32" s="1017" t="str">
        <f>IF(VLOOKUP($C$3&amp;"-"&amp;$D32,Import!$C:$H,3,FALSE)=0,"",VLOOKUP($C$3&amp;"-"&amp;$D32,Import!$C:$H,3,FALSE))</f>
        <v/>
      </c>
      <c r="Q32" s="1017" t="str">
        <f>IF(VLOOKUP($C$3&amp;"-"&amp;$D32,Import!$C:$H,4,FALSE)=0,"",VLOOKUP($C$3&amp;"-"&amp;$D32,Import!$C:$H,4,FALSE))</f>
        <v/>
      </c>
      <c r="R32" s="1017" t="str">
        <f>IF(VLOOKUP($C$3&amp;"-"&amp;$D32,Import!$C:$H,5,FALSE)=0,"",VLOOKUP($C$3&amp;"-"&amp;$D32,Import!$C:$H,5,FALSE))</f>
        <v/>
      </c>
      <c r="S32" s="1018" t="str">
        <f>IF(VLOOKUP($C$3&amp;"-"&amp;$D32,Import!$C:$H,6,FALSE)=0,"",VLOOKUP($C$3&amp;"-"&amp;$D32,Import!$C:$H,6,FALSE))</f>
        <v/>
      </c>
      <c r="T32" s="157"/>
      <c r="U32" s="256"/>
    </row>
    <row r="33" spans="1:21" s="293" customFormat="1" ht="34.950000000000003" customHeight="1" x14ac:dyDescent="0.2">
      <c r="A33" s="279"/>
      <c r="B33" s="1200"/>
      <c r="C33" s="1247"/>
      <c r="D33" s="402" t="s">
        <v>196</v>
      </c>
      <c r="E33" s="512" t="str">
        <f>IF(VLOOKUP(CONCATENATE($C$3,"-",$D33),Languages!$A:$D,1,TRUE)=CONCATENATE($C$3,"-",$D33),VLOOKUP(CONCATENATE($C$3,"-",$D33),Languages!$A:$D,Summary!$C$7,TRUE),NA())</f>
        <v>Haavoittuvuuksien seurantaan kuuluu myös soveltuvin osin niiden johdosta toteutettujen toimenpiteiden tarkastaminen.</v>
      </c>
      <c r="F33" s="403">
        <f t="shared" si="0"/>
        <v>0</v>
      </c>
      <c r="G33" s="489"/>
      <c r="H33" s="484"/>
      <c r="I33" s="484"/>
      <c r="J33" s="484"/>
      <c r="K33" s="493"/>
      <c r="L33" s="157"/>
      <c r="M33" s="279"/>
      <c r="N33" s="1200"/>
      <c r="O33" s="996" t="str">
        <f>VLOOKUP(VLOOKUP($C$3&amp;"-"&amp;$D33,Import!$C:$D,2,FALSE),Parameters!$C$18:$F$22,Summary!$C$7,FALSE)</f>
        <v xml:space="preserve">0 - Vastaus puuttuu </v>
      </c>
      <c r="P33" s="1024" t="str">
        <f>IF(VLOOKUP($C$3&amp;"-"&amp;$D33,Import!$C:$H,3,FALSE)=0,"",VLOOKUP($C$3&amp;"-"&amp;$D33,Import!$C:$H,3,FALSE))</f>
        <v/>
      </c>
      <c r="Q33" s="1024" t="str">
        <f>IF(VLOOKUP($C$3&amp;"-"&amp;$D33,Import!$C:$H,4,FALSE)=0,"",VLOOKUP($C$3&amp;"-"&amp;$D33,Import!$C:$H,4,FALSE))</f>
        <v/>
      </c>
      <c r="R33" s="1024" t="str">
        <f>IF(VLOOKUP($C$3&amp;"-"&amp;$D33,Import!$C:$H,5,FALSE)=0,"",VLOOKUP($C$3&amp;"-"&amp;$D33,Import!$C:$H,5,FALSE))</f>
        <v/>
      </c>
      <c r="S33" s="1025" t="str">
        <f>IF(VLOOKUP($C$3&amp;"-"&amp;$D33,Import!$C:$H,6,FALSE)=0,"",VLOOKUP($C$3&amp;"-"&amp;$D33,Import!$C:$H,6,FALSE))</f>
        <v/>
      </c>
      <c r="T33" s="157"/>
      <c r="U33" s="256"/>
    </row>
    <row r="34" spans="1:21" s="180" customFormat="1" ht="30" customHeight="1" x14ac:dyDescent="0.25">
      <c r="A34" s="169"/>
      <c r="B34" s="273"/>
      <c r="C34" s="173">
        <v>2</v>
      </c>
      <c r="D34" s="173" t="str">
        <f>IF(VLOOKUP(CONCATENATE($C$3,"-",C34),Languages!$A:$D,1,TRUE)=CONCATENATE($C$3,"-",C34),VLOOKUP(CONCATENATE($C$3,"-",C34),Languages!$A:$D,Summary!$C$7,TRUE),NA())</f>
        <v>Uhkien torjunta ja uhkatiedon jakaminen</v>
      </c>
      <c r="E34" s="173"/>
      <c r="F34" s="296"/>
      <c r="G34" s="1006"/>
      <c r="H34" s="1030"/>
      <c r="I34" s="1030"/>
      <c r="J34" s="1030"/>
      <c r="K34" s="1030"/>
      <c r="L34" s="157"/>
      <c r="M34" s="169"/>
      <c r="N34" s="273"/>
      <c r="O34" s="296"/>
      <c r="P34" s="297"/>
      <c r="Q34" s="297"/>
      <c r="R34" s="297"/>
      <c r="S34" s="297"/>
      <c r="T34" s="157"/>
      <c r="U34" s="256"/>
    </row>
    <row r="35" spans="1:21" s="289" customFormat="1" ht="19.95" customHeight="1" x14ac:dyDescent="0.2">
      <c r="A35" s="308"/>
      <c r="B35" s="283"/>
      <c r="C35" s="284" t="str">
        <f>IF(VLOOKUP("GEN-LEVEL",Languages!$A:$D,1,TRUE)="GEN-LEVEL",VLOOKUP("GEN-LEVEL",Languages!$A:$D,Summary!$C$7,TRUE),NA())</f>
        <v>Taso</v>
      </c>
      <c r="D35" s="284"/>
      <c r="E35" s="285" t="str">
        <f>IF(VLOOKUP("GEN-PRACTICE",Languages!$A:$D,1,TRUE)="GEN-PRACTICE",VLOOKUP("GEN-PRACTICE",Languages!$A:$D,Summary!$C$7,TRUE),NA())</f>
        <v>Käytäntö</v>
      </c>
      <c r="F35" s="286"/>
      <c r="G35" s="1003" t="str">
        <f>IF(VLOOKUP("GEN-ANSWER",Languages!$A:$D,1,TRUE)="GEN-ANSWER",VLOOKUP("GEN-ANSWER",Languages!$A:$D,Summary!$C$7,TRUE),NA())</f>
        <v>Vastaus</v>
      </c>
      <c r="H35" s="1004" t="str">
        <f>IF(VLOOKUP("KM112",Languages!$A:$D,1,TRUE)="KM112",VLOOKUP("KM112",Languages!$A:$D,Summary!$C$7,TRUE),NA())</f>
        <v>Kommentit</v>
      </c>
      <c r="I35" s="1004" t="str">
        <f>IF(VLOOKUP("KM113",Languages!$A:$D,1,TRUE)="KM113",VLOOKUP("KM113",Languages!$A:$D,Summary!$C$7,TRUE),NA())</f>
        <v>Sisäinen viittaus</v>
      </c>
      <c r="J35" s="1004" t="str">
        <f>IF(VLOOKUP("KM114",Languages!$A:$D,1,TRUE)="KM114",VLOOKUP("KM114",Languages!$A:$D,Summary!$C$7,TRUE),NA())</f>
        <v>Ulkoinen viittaus</v>
      </c>
      <c r="K35" s="1004" t="str">
        <f>IF(VLOOKUP("KM115",Languages!$A:$D,1,TRUE)="KM115",VLOOKUP("KM115",Languages!$A:$D,Summary!$C$7,TRUE),NA())</f>
        <v>Kehityskohde</v>
      </c>
      <c r="L35" s="287"/>
      <c r="M35" s="288"/>
      <c r="N35" s="283"/>
      <c r="O35" s="503" t="str">
        <f>IF(VLOOKUP("GEN-ANSWER",Languages!$A:$D,1,TRUE)="GEN-ANSWER",VLOOKUP("GEN-ANSWER",Languages!$A:$D,Summary!$C$7,TRUE),NA())</f>
        <v>Vastaus</v>
      </c>
      <c r="P35" s="503" t="str">
        <f>IF(VLOOKUP("KM112",Languages!$A:$D,1,TRUE)="KM112",VLOOKUP("KM112",Languages!$A:$D,Summary!$C$7,TRUE),NA())</f>
        <v>Kommentit</v>
      </c>
      <c r="Q35" s="503" t="str">
        <f>IF(VLOOKUP("KM113",Languages!$A:$D,1,TRUE)="KM113",VLOOKUP("KM113",Languages!$A:$D,Summary!$C$7,TRUE),NA())</f>
        <v>Sisäinen viittaus</v>
      </c>
      <c r="R35" s="503" t="str">
        <f>IF(VLOOKUP("KM114",Languages!$A:$D,1,TRUE)="KM114",VLOOKUP("KM114",Languages!$A:$D,Summary!$C$7,TRUE),NA())</f>
        <v>Ulkoinen viittaus</v>
      </c>
      <c r="S35" s="503" t="str">
        <f>IF(VLOOKUP("KM115",Languages!$A:$D,1,TRUE)="KM115",VLOOKUP("KM115",Languages!$A:$D,Summary!$C$7,TRUE),NA())</f>
        <v>Kehityskohde</v>
      </c>
      <c r="T35" s="287"/>
      <c r="U35" s="288"/>
    </row>
    <row r="36" spans="1:21" s="300" customFormat="1" ht="34.950000000000003" customHeight="1" x14ac:dyDescent="0.2">
      <c r="A36" s="309"/>
      <c r="B36" s="1213"/>
      <c r="C36" s="1229">
        <v>1</v>
      </c>
      <c r="D36" s="406" t="s">
        <v>17</v>
      </c>
      <c r="E36" s="507" t="str">
        <f>IF(VLOOKUP(CONCATENATE($C$3,"-",$D36),Languages!$A:$D,1,TRUE)=CONCATENATE($C$3,"-",$D36),VLOOKUP(CONCATENATE($C$3,"-",$D36),Languages!$A:$D,Summary!$C$7,TRUE),NA())</f>
        <v>Uhkien tunnistamisen tueksi on tunnistettu soveltuvia tietolähteitä. Tasolla 1 tämän ei tarvitse olla systemaattista ja säännöllistä.</v>
      </c>
      <c r="F36" s="396">
        <f t="shared" ref="F36:F46" si="1">IFERROR(INT(LEFT($G36,1)),0)</f>
        <v>0</v>
      </c>
      <c r="G36" s="485"/>
      <c r="H36" s="486"/>
      <c r="I36" s="486"/>
      <c r="J36" s="486"/>
      <c r="K36" s="487"/>
      <c r="L36" s="157"/>
      <c r="M36" s="309"/>
      <c r="N36" s="1213"/>
      <c r="O36" s="988" t="str">
        <f>VLOOKUP(VLOOKUP($C$3&amp;"-"&amp;$D36,Import!$C:$D,2,FALSE),Parameters!$C$18:$F$22,Summary!$C$7,FALSE)</f>
        <v xml:space="preserve">0 - Vastaus puuttuu </v>
      </c>
      <c r="P36" s="1032" t="str">
        <f>IF(VLOOKUP($C$3&amp;"-"&amp;$D36,Import!$C:$H,3,FALSE)=0,"",VLOOKUP($C$3&amp;"-"&amp;$D36,Import!$C:$H,3,FALSE))</f>
        <v/>
      </c>
      <c r="Q36" s="1032" t="str">
        <f>IF(VLOOKUP($C$3&amp;"-"&amp;$D36,Import!$C:$H,4,FALSE)=0,"",VLOOKUP($C$3&amp;"-"&amp;$D36,Import!$C:$H,4,FALSE))</f>
        <v/>
      </c>
      <c r="R36" s="1032" t="str">
        <f>IF(VLOOKUP($C$3&amp;"-"&amp;$D36,Import!$C:$H,5,FALSE)=0,"",VLOOKUP($C$3&amp;"-"&amp;$D36,Import!$C:$H,5,FALSE))</f>
        <v/>
      </c>
      <c r="S36" s="1033" t="str">
        <f>IF(VLOOKUP($C$3&amp;"-"&amp;$D36,Import!$C:$H,6,FALSE)=0,"",VLOOKUP($C$3&amp;"-"&amp;$D36,Import!$C:$H,6,FALSE))</f>
        <v/>
      </c>
      <c r="T36" s="157"/>
      <c r="U36" s="256"/>
    </row>
    <row r="37" spans="1:21" s="300" customFormat="1" ht="34.950000000000003" customHeight="1" x14ac:dyDescent="0.2">
      <c r="A37" s="309"/>
      <c r="B37" s="1213"/>
      <c r="C37" s="1238"/>
      <c r="D37" s="298" t="s">
        <v>18</v>
      </c>
      <c r="E37" s="508" t="str">
        <f>IF(VLOOKUP(CONCATENATE($C$3,"-",$D37),Languages!$A:$D,1,TRUE)=CONCATENATE($C$3,"-",$D37),VLOOKUP(CONCATENATE($C$3,"-",$D37),Languages!$A:$D,Summary!$C$7,TRUE),NA())</f>
        <v>Uhkatietoa kerätään ja sitä tulkitaan toimintoa varten. Tasolla 1 tämän ei tarvitse olla systemaattista ja säännöllistä.</v>
      </c>
      <c r="F37" s="291">
        <f t="shared" si="1"/>
        <v>0</v>
      </c>
      <c r="G37" s="311"/>
      <c r="H37" s="483"/>
      <c r="I37" s="483"/>
      <c r="J37" s="483"/>
      <c r="K37" s="492"/>
      <c r="L37" s="157"/>
      <c r="M37" s="309"/>
      <c r="N37" s="1213"/>
      <c r="O37" s="991" t="str">
        <f>VLOOKUP(VLOOKUP($C$3&amp;"-"&amp;$D37,Import!$C:$D,2,FALSE),Parameters!$C$18:$F$22,Summary!$C$7,FALSE)</f>
        <v xml:space="preserve">0 - Vastaus puuttuu </v>
      </c>
      <c r="P37" s="1017" t="str">
        <f>IF(VLOOKUP($C$3&amp;"-"&amp;$D37,Import!$C:$H,3,FALSE)=0,"",VLOOKUP($C$3&amp;"-"&amp;$D37,Import!$C:$H,3,FALSE))</f>
        <v/>
      </c>
      <c r="Q37" s="1017" t="str">
        <f>IF(VLOOKUP($C$3&amp;"-"&amp;$D37,Import!$C:$H,4,FALSE)=0,"",VLOOKUP($C$3&amp;"-"&amp;$D37,Import!$C:$H,4,FALSE))</f>
        <v/>
      </c>
      <c r="R37" s="1017" t="str">
        <f>IF(VLOOKUP($C$3&amp;"-"&amp;$D37,Import!$C:$H,5,FALSE)=0,"",VLOOKUP($C$3&amp;"-"&amp;$D37,Import!$C:$H,5,FALSE))</f>
        <v/>
      </c>
      <c r="S37" s="1018" t="str">
        <f>IF(VLOOKUP($C$3&amp;"-"&amp;$D37,Import!$C:$H,6,FALSE)=0,"",VLOOKUP($C$3&amp;"-"&amp;$D37,Import!$C:$H,6,FALSE))</f>
        <v/>
      </c>
      <c r="T37" s="157"/>
      <c r="U37" s="256"/>
    </row>
    <row r="38" spans="1:21" s="300" customFormat="1" ht="45" customHeight="1" x14ac:dyDescent="0.2">
      <c r="A38" s="309"/>
      <c r="B38" s="1213"/>
      <c r="C38" s="1230"/>
      <c r="D38" s="407" t="s">
        <v>19</v>
      </c>
      <c r="E38" s="514" t="str">
        <f>IF(VLOOKUP(CONCATENATE($C$3,"-",$D38),Languages!$A:$D,1,TRUE)=CONCATENATE($C$3,"-",$D38),VLOOKUP(CONCATENATE($C$3,"-",$D38),Languages!$A:$D,Summary!$C$7,TRUE),NA())</f>
        <v>Toiminnon kannalta olennaisiin uhkiin puututaan (esimerkiksi lisäämällä valvontaa tai seuraamalla uhkien kehitystä). Tasolla 1 tämän ei tarvitse olla systemaattista ja säännöllistä.</v>
      </c>
      <c r="F38" s="403">
        <f t="shared" si="1"/>
        <v>0</v>
      </c>
      <c r="G38" s="489"/>
      <c r="H38" s="484"/>
      <c r="I38" s="484"/>
      <c r="J38" s="484"/>
      <c r="K38" s="493"/>
      <c r="L38" s="157"/>
      <c r="M38" s="309"/>
      <c r="N38" s="1213"/>
      <c r="O38" s="996" t="str">
        <f>VLOOKUP(VLOOKUP($C$3&amp;"-"&amp;$D38,Import!$C:$D,2,FALSE),Parameters!$C$18:$F$22,Summary!$C$7,FALSE)</f>
        <v xml:space="preserve">0 - Vastaus puuttuu </v>
      </c>
      <c r="P38" s="1024" t="str">
        <f>IF(VLOOKUP($C$3&amp;"-"&amp;$D38,Import!$C:$H,3,FALSE)=0,"",VLOOKUP($C$3&amp;"-"&amp;$D38,Import!$C:$H,3,FALSE))</f>
        <v/>
      </c>
      <c r="Q38" s="1024" t="str">
        <f>IF(VLOOKUP($C$3&amp;"-"&amp;$D38,Import!$C:$H,4,FALSE)=0,"",VLOOKUP($C$3&amp;"-"&amp;$D38,Import!$C:$H,4,FALSE))</f>
        <v/>
      </c>
      <c r="R38" s="1024" t="str">
        <f>IF(VLOOKUP($C$3&amp;"-"&amp;$D38,Import!$C:$H,5,FALSE)=0,"",VLOOKUP($C$3&amp;"-"&amp;$D38,Import!$C:$H,5,FALSE))</f>
        <v/>
      </c>
      <c r="S38" s="1025" t="str">
        <f>IF(VLOOKUP($C$3&amp;"-"&amp;$D38,Import!$C:$H,6,FALSE)=0,"",VLOOKUP($C$3&amp;"-"&amp;$D38,Import!$C:$H,6,FALSE))</f>
        <v/>
      </c>
      <c r="T38" s="157"/>
      <c r="U38" s="256"/>
    </row>
    <row r="39" spans="1:21" s="300" customFormat="1" ht="45" customHeight="1" x14ac:dyDescent="0.2">
      <c r="A39" s="309"/>
      <c r="B39" s="1213"/>
      <c r="C39" s="1224">
        <v>2</v>
      </c>
      <c r="D39" s="406" t="s">
        <v>20</v>
      </c>
      <c r="E39" s="507" t="str">
        <f>IF(VLOOKUP(CONCATENATE($C$3,"-",$D39),Languages!$A:$D,1,TRUE)=CONCATENATE($C$3,"-",$D39),VLOOKUP(CONCATENATE($C$3,"-",$D39),Languages!$A:$D,Summary!$C$7,TRUE),NA())</f>
        <v>Toiminnolle on määritetty uhkaprofiili. Uhkaprofiilissa kuvataan mahdolliset uhkatekijät sekä esimerkiksi näiden motiivit, aikomukset, kyvykkyydet ja kohteet.</v>
      </c>
      <c r="F39" s="396">
        <f t="shared" si="1"/>
        <v>0</v>
      </c>
      <c r="G39" s="485"/>
      <c r="H39" s="482"/>
      <c r="I39" s="482"/>
      <c r="J39" s="482"/>
      <c r="K39" s="491"/>
      <c r="L39" s="157"/>
      <c r="M39" s="309"/>
      <c r="N39" s="1213"/>
      <c r="O39" s="988" t="str">
        <f>VLOOKUP(VLOOKUP($C$3&amp;"-"&amp;$D39,Import!$C:$D,2,FALSE),Parameters!$C$18:$F$22,Summary!$C$7,FALSE)</f>
        <v xml:space="preserve">0 - Vastaus puuttuu </v>
      </c>
      <c r="P39" s="1022" t="str">
        <f>IF(VLOOKUP($C$3&amp;"-"&amp;$D39,Import!$C:$H,3,FALSE)=0,"",VLOOKUP($C$3&amp;"-"&amp;$D39,Import!$C:$H,3,FALSE))</f>
        <v/>
      </c>
      <c r="Q39" s="1022" t="str">
        <f>IF(VLOOKUP($C$3&amp;"-"&amp;$D39,Import!$C:$H,4,FALSE)=0,"",VLOOKUP($C$3&amp;"-"&amp;$D39,Import!$C:$H,4,FALSE))</f>
        <v/>
      </c>
      <c r="R39" s="1022" t="str">
        <f>IF(VLOOKUP($C$3&amp;"-"&amp;$D39,Import!$C:$H,5,FALSE)=0,"",VLOOKUP($C$3&amp;"-"&amp;$D39,Import!$C:$H,5,FALSE))</f>
        <v/>
      </c>
      <c r="S39" s="1023" t="str">
        <f>IF(VLOOKUP($C$3&amp;"-"&amp;$D39,Import!$C:$H,6,FALSE)=0,"",VLOOKUP($C$3&amp;"-"&amp;$D39,Import!$C:$H,6,FALSE))</f>
        <v/>
      </c>
      <c r="T39" s="157"/>
      <c r="U39" s="256"/>
    </row>
    <row r="40" spans="1:21" s="300" customFormat="1" ht="34.950000000000003" customHeight="1" x14ac:dyDescent="0.2">
      <c r="A40" s="309"/>
      <c r="B40" s="1213"/>
      <c r="C40" s="1237"/>
      <c r="D40" s="298" t="s">
        <v>21</v>
      </c>
      <c r="E40" s="508" t="str">
        <f>IF(VLOOKUP(CONCATENATE($C$3,"-",$D40),Languages!$A:$D,1,TRUE)=CONCATENATE($C$3,"-",$D40),VLOOKUP(CONCATENATE($C$3,"-",$D40),Languages!$A:$D,Summary!$C$7,TRUE),NA())</f>
        <v>Uhkatiedon lähteet kattavat kaikki uhkaprofiilin eri osat ja näitä tietolähteitä seurataan säännöllisesti.</v>
      </c>
      <c r="F40" s="291">
        <f t="shared" si="1"/>
        <v>0</v>
      </c>
      <c r="G40" s="311"/>
      <c r="H40" s="483"/>
      <c r="I40" s="483"/>
      <c r="J40" s="483"/>
      <c r="K40" s="492"/>
      <c r="L40" s="157"/>
      <c r="M40" s="309"/>
      <c r="N40" s="1213"/>
      <c r="O40" s="991" t="str">
        <f>VLOOKUP(VLOOKUP($C$3&amp;"-"&amp;$D40,Import!$C:$D,2,FALSE),Parameters!$C$18:$F$22,Summary!$C$7,FALSE)</f>
        <v xml:space="preserve">0 - Vastaus puuttuu </v>
      </c>
      <c r="P40" s="1017" t="str">
        <f>IF(VLOOKUP($C$3&amp;"-"&amp;$D40,Import!$C:$H,3,FALSE)=0,"",VLOOKUP($C$3&amp;"-"&amp;$D40,Import!$C:$H,3,FALSE))</f>
        <v/>
      </c>
      <c r="Q40" s="1017" t="str">
        <f>IF(VLOOKUP($C$3&amp;"-"&amp;$D40,Import!$C:$H,4,FALSE)=0,"",VLOOKUP($C$3&amp;"-"&amp;$D40,Import!$C:$H,4,FALSE))</f>
        <v/>
      </c>
      <c r="R40" s="1017" t="str">
        <f>IF(VLOOKUP($C$3&amp;"-"&amp;$D40,Import!$C:$H,5,FALSE)=0,"",VLOOKUP($C$3&amp;"-"&amp;$D40,Import!$C:$H,5,FALSE))</f>
        <v/>
      </c>
      <c r="S40" s="1018" t="str">
        <f>IF(VLOOKUP($C$3&amp;"-"&amp;$D40,Import!$C:$H,6,FALSE)=0,"",VLOOKUP($C$3&amp;"-"&amp;$D40,Import!$C:$H,6,FALSE))</f>
        <v/>
      </c>
      <c r="T40" s="157"/>
      <c r="U40" s="256"/>
    </row>
    <row r="41" spans="1:21" s="300" customFormat="1" ht="34.950000000000003" customHeight="1" x14ac:dyDescent="0.2">
      <c r="A41" s="309"/>
      <c r="B41" s="1213"/>
      <c r="C41" s="1237"/>
      <c r="D41" s="298" t="s">
        <v>109</v>
      </c>
      <c r="E41" s="508" t="str">
        <f>IF(VLOOKUP(CONCATENATE($C$3,"-",$D41),Languages!$A:$D,1,TRUE)=CONCATENATE($C$3,"-",$D41),VLOOKUP(CONCATENATE($C$3,"-",$D41),Languages!$A:$D,Summary!$C$7,TRUE),NA())</f>
        <v>Tunnistetut uhat analysoidaan, priorisoidaan ja niihin puututaan tilanteen edellyttämin keinoin.</v>
      </c>
      <c r="F41" s="291">
        <f t="shared" si="1"/>
        <v>0</v>
      </c>
      <c r="G41" s="311"/>
      <c r="H41" s="483"/>
      <c r="I41" s="483"/>
      <c r="J41" s="483"/>
      <c r="K41" s="492"/>
      <c r="L41" s="157"/>
      <c r="M41" s="309"/>
      <c r="N41" s="1213"/>
      <c r="O41" s="991" t="str">
        <f>VLOOKUP(VLOOKUP($C$3&amp;"-"&amp;$D41,Import!$C:$D,2,FALSE),Parameters!$C$18:$F$22,Summary!$C$7,FALSE)</f>
        <v xml:space="preserve">0 - Vastaus puuttuu </v>
      </c>
      <c r="P41" s="1017" t="str">
        <f>IF(VLOOKUP($C$3&amp;"-"&amp;$D41,Import!$C:$H,3,FALSE)=0,"",VLOOKUP($C$3&amp;"-"&amp;$D41,Import!$C:$H,3,FALSE))</f>
        <v/>
      </c>
      <c r="Q41" s="1017" t="str">
        <f>IF(VLOOKUP($C$3&amp;"-"&amp;$D41,Import!$C:$H,4,FALSE)=0,"",VLOOKUP($C$3&amp;"-"&amp;$D41,Import!$C:$H,4,FALSE))</f>
        <v/>
      </c>
      <c r="R41" s="1017" t="str">
        <f>IF(VLOOKUP($C$3&amp;"-"&amp;$D41,Import!$C:$H,5,FALSE)=0,"",VLOOKUP($C$3&amp;"-"&amp;$D41,Import!$C:$H,5,FALSE))</f>
        <v/>
      </c>
      <c r="S41" s="1018" t="str">
        <f>IF(VLOOKUP($C$3&amp;"-"&amp;$D41,Import!$C:$H,6,FALSE)=0,"",VLOOKUP($C$3&amp;"-"&amp;$D41,Import!$C:$H,6,FALSE))</f>
        <v/>
      </c>
      <c r="T41" s="157"/>
      <c r="U41" s="256"/>
    </row>
    <row r="42" spans="1:21" s="300" customFormat="1" ht="60" customHeight="1" x14ac:dyDescent="0.2">
      <c r="A42" s="309"/>
      <c r="B42" s="1213"/>
      <c r="C42" s="1225"/>
      <c r="D42" s="407" t="s">
        <v>173</v>
      </c>
      <c r="E42" s="514" t="str">
        <f>IF(VLOOKUP(CONCATENATE($C$3,"-",$D42),Languages!$A:$D,1,TRUE)=CONCATENATE($C$3,"-",$D42),VLOOKUP(CONCATENATE($C$3,"-",$D42),Languages!$A:$D,Summary!$C$7,TRUE),NA())</f>
        <v>Uhkatietoa vaihdetaan organisaation määrittelemien sidosryhmien kanssa (näitä voivat olla esimerkiksi palveluntoimittajat, viranomaiset, toimialan muut organisaatiot, ISAC-ryhmät tai organisaation muut sisäiset ja ulkoiset sidosryhmät).</v>
      </c>
      <c r="F42" s="403">
        <f t="shared" si="1"/>
        <v>0</v>
      </c>
      <c r="G42" s="489"/>
      <c r="H42" s="484"/>
      <c r="I42" s="484"/>
      <c r="J42" s="484"/>
      <c r="K42" s="493"/>
      <c r="L42" s="157"/>
      <c r="M42" s="309"/>
      <c r="N42" s="1213"/>
      <c r="O42" s="996" t="str">
        <f>VLOOKUP(VLOOKUP($C$3&amp;"-"&amp;$D42,Import!$C:$D,2,FALSE),Parameters!$C$18:$F$22,Summary!$C$7,FALSE)</f>
        <v xml:space="preserve">0 - Vastaus puuttuu </v>
      </c>
      <c r="P42" s="1024" t="str">
        <f>IF(VLOOKUP($C$3&amp;"-"&amp;$D42,Import!$C:$H,3,FALSE)=0,"",VLOOKUP($C$3&amp;"-"&amp;$D42,Import!$C:$H,3,FALSE))</f>
        <v/>
      </c>
      <c r="Q42" s="1024" t="str">
        <f>IF(VLOOKUP($C$3&amp;"-"&amp;$D42,Import!$C:$H,4,FALSE)=0,"",VLOOKUP($C$3&amp;"-"&amp;$D42,Import!$C:$H,4,FALSE))</f>
        <v/>
      </c>
      <c r="R42" s="1024" t="str">
        <f>IF(VLOOKUP($C$3&amp;"-"&amp;$D42,Import!$C:$H,5,FALSE)=0,"",VLOOKUP($C$3&amp;"-"&amp;$D42,Import!$C:$H,5,FALSE))</f>
        <v/>
      </c>
      <c r="S42" s="1025" t="str">
        <f>IF(VLOOKUP($C$3&amp;"-"&amp;$D42,Import!$C:$H,6,FALSE)=0,"",VLOOKUP($C$3&amp;"-"&amp;$D42,Import!$C:$H,6,FALSE))</f>
        <v/>
      </c>
      <c r="T42" s="157"/>
      <c r="U42" s="256"/>
    </row>
    <row r="43" spans="1:21" s="300" customFormat="1" ht="49.2" customHeight="1" x14ac:dyDescent="0.2">
      <c r="A43" s="309"/>
      <c r="B43" s="1213"/>
      <c r="C43" s="1226">
        <v>3</v>
      </c>
      <c r="D43" s="406" t="s">
        <v>175</v>
      </c>
      <c r="E43" s="507" t="str">
        <f>IF(VLOOKUP(CONCATENATE($C$3,"-",$D43),Languages!$A:$D,1,TRUE)=CONCATENATE($C$3,"-",$D43),VLOOKUP(CONCATENATE($C$3,"-",$D43),Languages!$A:$D,Summary!$C$7,TRUE),NA())</f>
        <v>Toiminnon uhkaprofiili päivitetään aika ajoin ja määriteltyjen tilanteiden kuten järjestelmämuutosten tai ulkoisten tapahtumien yhteydessä.</v>
      </c>
      <c r="F43" s="396">
        <f t="shared" si="1"/>
        <v>0</v>
      </c>
      <c r="G43" s="485"/>
      <c r="H43" s="482"/>
      <c r="I43" s="482"/>
      <c r="J43" s="482"/>
      <c r="K43" s="491"/>
      <c r="L43" s="157"/>
      <c r="M43" s="309"/>
      <c r="N43" s="1213"/>
      <c r="O43" s="988" t="str">
        <f>VLOOKUP(VLOOKUP($C$3&amp;"-"&amp;$D43,Import!$C:$D,2,FALSE),Parameters!$C$18:$F$22,Summary!$C$7,FALSE)</f>
        <v xml:space="preserve">0 - Vastaus puuttuu </v>
      </c>
      <c r="P43" s="1022" t="str">
        <f>IF(VLOOKUP($C$3&amp;"-"&amp;$D43,Import!$C:$H,3,FALSE)=0,"",VLOOKUP($C$3&amp;"-"&amp;$D43,Import!$C:$H,3,FALSE))</f>
        <v/>
      </c>
      <c r="Q43" s="1022" t="str">
        <f>IF(VLOOKUP($C$3&amp;"-"&amp;$D43,Import!$C:$H,4,FALSE)=0,"",VLOOKUP($C$3&amp;"-"&amp;$D43,Import!$C:$H,4,FALSE))</f>
        <v/>
      </c>
      <c r="R43" s="1022" t="str">
        <f>IF(VLOOKUP($C$3&amp;"-"&amp;$D43,Import!$C:$H,5,FALSE)=0,"",VLOOKUP($C$3&amp;"-"&amp;$D43,Import!$C:$H,5,FALSE))</f>
        <v/>
      </c>
      <c r="S43" s="1023" t="str">
        <f>IF(VLOOKUP($C$3&amp;"-"&amp;$D43,Import!$C:$H,6,FALSE)=0,"",VLOOKUP($C$3&amp;"-"&amp;$D43,Import!$C:$H,6,FALSE))</f>
        <v/>
      </c>
      <c r="T43" s="157"/>
      <c r="U43" s="256"/>
    </row>
    <row r="44" spans="1:21" s="300" customFormat="1" ht="34.950000000000003" customHeight="1" x14ac:dyDescent="0.2">
      <c r="A44" s="309"/>
      <c r="B44" s="1213"/>
      <c r="C44" s="1228"/>
      <c r="D44" s="298" t="s">
        <v>206</v>
      </c>
      <c r="E44" s="508" t="str">
        <f>IF(VLOOKUP(CONCATENATE($C$3,"-",$D44),Languages!$A:$D,1,TRUE)=CONCATENATE($C$3,"-",$D44),VLOOKUP(CONCATENATE($C$3,"-",$D44),Languages!$A:$D,Summary!$C$7,TRUE),NA())</f>
        <v>Tunnistetut uhat, joihin liittyy korkeampi riski, ohjataan eteenpäin organisaation riskienhallintaprosessiin jatkotoimenpiteitä varten.</v>
      </c>
      <c r="F44" s="291">
        <f t="shared" si="1"/>
        <v>0</v>
      </c>
      <c r="G44" s="311"/>
      <c r="H44" s="483"/>
      <c r="I44" s="483"/>
      <c r="J44" s="483"/>
      <c r="K44" s="492"/>
      <c r="L44" s="157"/>
      <c r="M44" s="309"/>
      <c r="N44" s="1213"/>
      <c r="O44" s="991" t="str">
        <f>VLOOKUP(VLOOKUP($C$3&amp;"-"&amp;$D44,Import!$C:$D,2,FALSE),Parameters!$C$18:$F$22,Summary!$C$7,FALSE)</f>
        <v xml:space="preserve">0 - Vastaus puuttuu </v>
      </c>
      <c r="P44" s="1017" t="str">
        <f>IF(VLOOKUP($C$3&amp;"-"&amp;$D44,Import!$C:$H,3,FALSE)=0,"",VLOOKUP($C$3&amp;"-"&amp;$D44,Import!$C:$H,3,FALSE))</f>
        <v/>
      </c>
      <c r="Q44" s="1017" t="str">
        <f>IF(VLOOKUP($C$3&amp;"-"&amp;$D44,Import!$C:$H,4,FALSE)=0,"",VLOOKUP($C$3&amp;"-"&amp;$D44,Import!$C:$H,4,FALSE))</f>
        <v/>
      </c>
      <c r="R44" s="1017" t="str">
        <f>IF(VLOOKUP($C$3&amp;"-"&amp;$D44,Import!$C:$H,5,FALSE)=0,"",VLOOKUP($C$3&amp;"-"&amp;$D44,Import!$C:$H,5,FALSE))</f>
        <v/>
      </c>
      <c r="S44" s="1018" t="str">
        <f>IF(VLOOKUP($C$3&amp;"-"&amp;$D44,Import!$C:$H,6,FALSE)=0,"",VLOOKUP($C$3&amp;"-"&amp;$D44,Import!$C:$H,6,FALSE))</f>
        <v/>
      </c>
      <c r="T44" s="157"/>
      <c r="U44" s="256"/>
    </row>
    <row r="45" spans="1:21" s="300" customFormat="1" ht="34.950000000000003" customHeight="1" x14ac:dyDescent="0.2">
      <c r="A45" s="309"/>
      <c r="B45" s="1213"/>
      <c r="C45" s="1228"/>
      <c r="D45" s="298" t="s">
        <v>208</v>
      </c>
      <c r="E45" s="508" t="str">
        <f>IF(VLOOKUP(CONCATENATE($C$3,"-",$D45),Languages!$A:$D,1,TRUE)=CONCATENATE($C$3,"-",$D45),VLOOKUP(CONCATENATE($C$3,"-",$D45),Languages!$A:$D,Summary!$C$7,TRUE),NA())</f>
        <v>Uhkien seurannassa ja niihin reagoimisessa noudatetaan ennalta määriteltyjä toimintatiloja [kts. SITUATION-3h].</v>
      </c>
      <c r="F45" s="291">
        <f t="shared" si="1"/>
        <v>0</v>
      </c>
      <c r="G45" s="311"/>
      <c r="H45" s="483"/>
      <c r="I45" s="483"/>
      <c r="J45" s="483"/>
      <c r="K45" s="492"/>
      <c r="L45" s="157"/>
      <c r="M45" s="309"/>
      <c r="N45" s="1213"/>
      <c r="O45" s="991" t="str">
        <f>VLOOKUP(VLOOKUP($C$3&amp;"-"&amp;$D45,Import!$C:$D,2,FALSE),Parameters!$C$18:$F$22,Summary!$C$7,FALSE)</f>
        <v xml:space="preserve">0 - Vastaus puuttuu </v>
      </c>
      <c r="P45" s="1017" t="str">
        <f>IF(VLOOKUP($C$3&amp;"-"&amp;$D45,Import!$C:$H,3,FALSE)=0,"",VLOOKUP($C$3&amp;"-"&amp;$D45,Import!$C:$H,3,FALSE))</f>
        <v/>
      </c>
      <c r="Q45" s="1017" t="str">
        <f>IF(VLOOKUP($C$3&amp;"-"&amp;$D45,Import!$C:$H,4,FALSE)=0,"",VLOOKUP($C$3&amp;"-"&amp;$D45,Import!$C:$H,4,FALSE))</f>
        <v/>
      </c>
      <c r="R45" s="1017" t="str">
        <f>IF(VLOOKUP($C$3&amp;"-"&amp;$D45,Import!$C:$H,5,FALSE)=0,"",VLOOKUP($C$3&amp;"-"&amp;$D45,Import!$C:$H,5,FALSE))</f>
        <v/>
      </c>
      <c r="S45" s="1018" t="str">
        <f>IF(VLOOKUP($C$3&amp;"-"&amp;$D45,Import!$C:$H,6,FALSE)=0,"",VLOOKUP($C$3&amp;"-"&amp;$D45,Import!$C:$H,6,FALSE))</f>
        <v/>
      </c>
      <c r="T45" s="157"/>
      <c r="U45" s="256"/>
    </row>
    <row r="46" spans="1:21" s="300" customFormat="1" ht="45" customHeight="1" x14ac:dyDescent="0.2">
      <c r="A46" s="309"/>
      <c r="B46" s="1213"/>
      <c r="C46" s="1227"/>
      <c r="D46" s="407" t="s">
        <v>210</v>
      </c>
      <c r="E46" s="514" t="str">
        <f>IF(VLOOKUP(CONCATENATE($C$3,"-",$D46),Languages!$A:$D,1,TRUE)=CONCATENATE($C$3,"-",$D46),VLOOKUP(CONCATENATE($C$3,"-",$D46),Languages!$A:$D,Summary!$C$7,TRUE),NA())</f>
        <v>Uhkatietoa käsitellään noudattaen turvallisia ja mahdollisimman reaaliaikaisia menetelmiä, joilla varmistetaan uhkien nopea analysointi ja nopea puuttuminen.</v>
      </c>
      <c r="F46" s="403">
        <f t="shared" si="1"/>
        <v>0</v>
      </c>
      <c r="G46" s="489"/>
      <c r="H46" s="484"/>
      <c r="I46" s="484"/>
      <c r="J46" s="484"/>
      <c r="K46" s="493"/>
      <c r="L46" s="157"/>
      <c r="M46" s="309"/>
      <c r="N46" s="1213"/>
      <c r="O46" s="996" t="str">
        <f>VLOOKUP(VLOOKUP($C$3&amp;"-"&amp;$D46,Import!$C:$D,2,FALSE),Parameters!$C$18:$F$22,Summary!$C$7,FALSE)</f>
        <v xml:space="preserve">0 - Vastaus puuttuu </v>
      </c>
      <c r="P46" s="1024" t="str">
        <f>IF(VLOOKUP($C$3&amp;"-"&amp;$D46,Import!$C:$H,3,FALSE)=0,"",VLOOKUP($C$3&amp;"-"&amp;$D46,Import!$C:$H,3,FALSE))</f>
        <v/>
      </c>
      <c r="Q46" s="1024" t="str">
        <f>IF(VLOOKUP($C$3&amp;"-"&amp;$D46,Import!$C:$H,4,FALSE)=0,"",VLOOKUP($C$3&amp;"-"&amp;$D46,Import!$C:$H,4,FALSE))</f>
        <v/>
      </c>
      <c r="R46" s="1024" t="str">
        <f>IF(VLOOKUP($C$3&amp;"-"&amp;$D46,Import!$C:$H,5,FALSE)=0,"",VLOOKUP($C$3&amp;"-"&amp;$D46,Import!$C:$H,5,FALSE))</f>
        <v/>
      </c>
      <c r="S46" s="1025" t="str">
        <f>IF(VLOOKUP($C$3&amp;"-"&amp;$D46,Import!$C:$H,6,FALSE)=0,"",VLOOKUP($C$3&amp;"-"&amp;$D46,Import!$C:$H,6,FALSE))</f>
        <v/>
      </c>
      <c r="T46" s="157"/>
      <c r="U46" s="256"/>
    </row>
    <row r="47" spans="1:21" s="180" customFormat="1" ht="30" customHeight="1" x14ac:dyDescent="0.25">
      <c r="A47" s="169"/>
      <c r="B47" s="273"/>
      <c r="C47" s="173">
        <v>3</v>
      </c>
      <c r="D47" s="173" t="str">
        <f>IF(VLOOKUP(CONCATENATE($C$3,"-",C47),Languages!$A:$D,1,TRUE)=CONCATENATE($C$3,"-",C47),VLOOKUP(CONCATENATE($C$3,"-",C47),Languages!$A:$D,Summary!$C$7,TRUE),NA())</f>
        <v>Yleisiä hallintatoimia</v>
      </c>
      <c r="E47" s="173"/>
      <c r="F47" s="296"/>
      <c r="G47" s="1006"/>
      <c r="H47" s="1030"/>
      <c r="I47" s="1030"/>
      <c r="J47" s="1030"/>
      <c r="K47" s="1030"/>
      <c r="L47" s="157"/>
      <c r="M47" s="169"/>
      <c r="N47" s="273"/>
      <c r="O47" s="296"/>
      <c r="P47" s="297"/>
      <c r="Q47" s="297"/>
      <c r="R47" s="297"/>
      <c r="S47" s="297"/>
      <c r="T47" s="157"/>
      <c r="U47" s="256"/>
    </row>
    <row r="48" spans="1:21" s="289" customFormat="1" ht="19.95" customHeight="1" x14ac:dyDescent="0.2">
      <c r="A48" s="308"/>
      <c r="B48" s="283"/>
      <c r="C48" s="284" t="str">
        <f>IF(VLOOKUP("GEN-LEVEL",Languages!$A:$D,1,TRUE)="GEN-LEVEL",VLOOKUP("GEN-LEVEL",Languages!$A:$D,Summary!$C$7,TRUE),NA())</f>
        <v>Taso</v>
      </c>
      <c r="D48" s="284"/>
      <c r="E48" s="285" t="str">
        <f>IF(VLOOKUP("GEN-PRACTICE",Languages!$A:$D,1,TRUE)="GEN-PRACTICE",VLOOKUP("GEN-PRACTICE",Languages!$A:$D,Summary!$C$7,TRUE),NA())</f>
        <v>Käytäntö</v>
      </c>
      <c r="F48" s="286"/>
      <c r="G48" s="1003" t="str">
        <f>IF(VLOOKUP("GEN-ANSWER",Languages!$A:$D,1,TRUE)="GEN-ANSWER",VLOOKUP("GEN-ANSWER",Languages!$A:$D,Summary!$C$7,TRUE),NA())</f>
        <v>Vastaus</v>
      </c>
      <c r="H48" s="1004" t="str">
        <f>IF(VLOOKUP("KM112",Languages!$A:$D,1,TRUE)="KM112",VLOOKUP("KM112",Languages!$A:$D,Summary!$C$7,TRUE),NA())</f>
        <v>Kommentit</v>
      </c>
      <c r="I48" s="1004" t="str">
        <f>IF(VLOOKUP("KM113",Languages!$A:$D,1,TRUE)="KM113",VLOOKUP("KM113",Languages!$A:$D,Summary!$C$7,TRUE),NA())</f>
        <v>Sisäinen viittaus</v>
      </c>
      <c r="J48" s="1004" t="str">
        <f>IF(VLOOKUP("KM114",Languages!$A:$D,1,TRUE)="KM114",VLOOKUP("KM114",Languages!$A:$D,Summary!$C$7,TRUE),NA())</f>
        <v>Ulkoinen viittaus</v>
      </c>
      <c r="K48" s="1004" t="str">
        <f>IF(VLOOKUP("KM115",Languages!$A:$D,1,TRUE)="KM115",VLOOKUP("KM115",Languages!$A:$D,Summary!$C$7,TRUE),NA())</f>
        <v>Kehityskohde</v>
      </c>
      <c r="L48" s="287"/>
      <c r="M48" s="288"/>
      <c r="N48" s="283"/>
      <c r="O48" s="503" t="str">
        <f>IF(VLOOKUP("GEN-ANSWER",Languages!$A:$D,1,TRUE)="GEN-ANSWER",VLOOKUP("GEN-ANSWER",Languages!$A:$D,Summary!$C$7,TRUE),NA())</f>
        <v>Vastaus</v>
      </c>
      <c r="P48" s="503" t="str">
        <f>IF(VLOOKUP("KM112",Languages!$A:$D,1,TRUE)="KM112",VLOOKUP("KM112",Languages!$A:$D,Summary!$C$7,TRUE),NA())</f>
        <v>Kommentit</v>
      </c>
      <c r="Q48" s="503" t="str">
        <f>IF(VLOOKUP("KM113",Languages!$A:$D,1,TRUE)="KM113",VLOOKUP("KM113",Languages!$A:$D,Summary!$C$7,TRUE),NA())</f>
        <v>Sisäinen viittaus</v>
      </c>
      <c r="R48" s="503" t="str">
        <f>IF(VLOOKUP("KM114",Languages!$A:$D,1,TRUE)="KM114",VLOOKUP("KM114",Languages!$A:$D,Summary!$C$7,TRUE),NA())</f>
        <v>Ulkoinen viittaus</v>
      </c>
      <c r="S48" s="503" t="str">
        <f>IF(VLOOKUP("KM115",Languages!$A:$D,1,TRUE)="KM115",VLOOKUP("KM115",Languages!$A:$D,Summary!$C$7,TRUE),NA())</f>
        <v>Kehityskohde</v>
      </c>
      <c r="T48" s="287"/>
      <c r="U48" s="288"/>
    </row>
    <row r="49" spans="1:21" s="315" customFormat="1" ht="19.95" customHeight="1" x14ac:dyDescent="0.2">
      <c r="A49" s="288"/>
      <c r="B49" s="283"/>
      <c r="C49" s="569">
        <v>1</v>
      </c>
      <c r="D49" s="412"/>
      <c r="E49" s="413"/>
      <c r="F49" s="415"/>
      <c r="G49" s="1007"/>
      <c r="H49" s="1008"/>
      <c r="I49" s="1008"/>
      <c r="J49" s="1008"/>
      <c r="K49" s="1009"/>
      <c r="L49" s="157"/>
      <c r="M49" s="288"/>
      <c r="N49" s="283"/>
      <c r="O49" s="562"/>
      <c r="P49" s="414"/>
      <c r="Q49" s="414"/>
      <c r="R49" s="414"/>
      <c r="S49" s="416"/>
      <c r="T49" s="157"/>
      <c r="U49" s="256"/>
    </row>
    <row r="50" spans="1:21" s="300" customFormat="1" ht="34.950000000000003" customHeight="1" x14ac:dyDescent="0.2">
      <c r="A50" s="309"/>
      <c r="B50" s="1213"/>
      <c r="C50" s="1224">
        <v>2</v>
      </c>
      <c r="D50" s="406" t="s">
        <v>22</v>
      </c>
      <c r="E50" s="507" t="str">
        <f>IF(VLOOKUP(CONCATENATE($C$3,"-",$D50),Languages!$A:$D,1,TRUE)=CONCATENATE($C$3,"-",$D50),VLOOKUP(CONCATENATE($C$3,"-",$D50),Languages!$A:$D,Summary!$C$7,TRUE),NA())</f>
        <v>THREAT-osion toimintaa varten on määritetty dokumentoidut toimintatavat, joita noudatetaan ja päivitetään säännöllisesti.</v>
      </c>
      <c r="F50" s="396">
        <f t="shared" ref="F50:F55" si="2">IFERROR(INT(LEFT($G50,1)),0)</f>
        <v>0</v>
      </c>
      <c r="G50" s="485"/>
      <c r="H50" s="482"/>
      <c r="I50" s="482"/>
      <c r="J50" s="482"/>
      <c r="K50" s="491"/>
      <c r="L50" s="157"/>
      <c r="M50" s="309"/>
      <c r="N50" s="1213"/>
      <c r="O50" s="988" t="str">
        <f>VLOOKUP(VLOOKUP($C$3&amp;"-"&amp;$D50,Import!$C:$D,2,FALSE),Parameters!$C$18:$F$22,Summary!$C$7,FALSE)</f>
        <v xml:space="preserve">0 - Vastaus puuttuu </v>
      </c>
      <c r="P50" s="1022" t="str">
        <f>IF(VLOOKUP($C$3&amp;"-"&amp;$D50,Import!$C:$H,3,FALSE)=0,"",VLOOKUP($C$3&amp;"-"&amp;$D50,Import!$C:$H,3,FALSE))</f>
        <v/>
      </c>
      <c r="Q50" s="1022" t="str">
        <f>IF(VLOOKUP($C$3&amp;"-"&amp;$D50,Import!$C:$H,4,FALSE)=0,"",VLOOKUP($C$3&amp;"-"&amp;$D50,Import!$C:$H,4,FALSE))</f>
        <v/>
      </c>
      <c r="R50" s="1022" t="str">
        <f>IF(VLOOKUP($C$3&amp;"-"&amp;$D50,Import!$C:$H,5,FALSE)=0,"",VLOOKUP($C$3&amp;"-"&amp;$D50,Import!$C:$H,5,FALSE))</f>
        <v/>
      </c>
      <c r="S50" s="1023" t="str">
        <f>IF(VLOOKUP($C$3&amp;"-"&amp;$D50,Import!$C:$H,6,FALSE)=0,"",VLOOKUP($C$3&amp;"-"&amp;$D50,Import!$C:$H,6,FALSE))</f>
        <v/>
      </c>
      <c r="T50" s="157"/>
      <c r="U50" s="256"/>
    </row>
    <row r="51" spans="1:21" s="300" customFormat="1" ht="34.950000000000003" customHeight="1" x14ac:dyDescent="0.2">
      <c r="A51" s="309"/>
      <c r="B51" s="1213"/>
      <c r="C51" s="1225"/>
      <c r="D51" s="407" t="s">
        <v>23</v>
      </c>
      <c r="E51" s="514" t="str">
        <f>IF(VLOOKUP(CONCATENATE($C$3,"-",$D51),Languages!$A:$D,1,TRUE)=CONCATENATE($C$3,"-",$D51),VLOOKUP(CONCATENATE($C$3,"-",$D51),Languages!$A:$D,Summary!$C$7,TRUE),NA())</f>
        <v>THREAT-osion toimintaa varten on tarjolla riittävät resurssit (henkilöstö, rahoitus ja työkalut).</v>
      </c>
      <c r="F51" s="403">
        <f t="shared" si="2"/>
        <v>0</v>
      </c>
      <c r="G51" s="489"/>
      <c r="H51" s="484"/>
      <c r="I51" s="484"/>
      <c r="J51" s="484"/>
      <c r="K51" s="493"/>
      <c r="L51" s="157"/>
      <c r="M51" s="309"/>
      <c r="N51" s="1213"/>
      <c r="O51" s="996" t="str">
        <f>VLOOKUP(VLOOKUP($C$3&amp;"-"&amp;$D51,Import!$C:$D,2,FALSE),Parameters!$C$18:$F$22,Summary!$C$7,FALSE)</f>
        <v xml:space="preserve">0 - Vastaus puuttuu </v>
      </c>
      <c r="P51" s="1024" t="str">
        <f>IF(VLOOKUP($C$3&amp;"-"&amp;$D51,Import!$C:$H,3,FALSE)=0,"",VLOOKUP($C$3&amp;"-"&amp;$D51,Import!$C:$H,3,FALSE))</f>
        <v/>
      </c>
      <c r="Q51" s="1024" t="str">
        <f>IF(VLOOKUP($C$3&amp;"-"&amp;$D51,Import!$C:$H,4,FALSE)=0,"",VLOOKUP($C$3&amp;"-"&amp;$D51,Import!$C:$H,4,FALSE))</f>
        <v/>
      </c>
      <c r="R51" s="1024" t="str">
        <f>IF(VLOOKUP($C$3&amp;"-"&amp;$D51,Import!$C:$H,5,FALSE)=0,"",VLOOKUP($C$3&amp;"-"&amp;$D51,Import!$C:$H,5,FALSE))</f>
        <v/>
      </c>
      <c r="S51" s="1025" t="str">
        <f>IF(VLOOKUP($C$3&amp;"-"&amp;$D51,Import!$C:$H,6,FALSE)=0,"",VLOOKUP($C$3&amp;"-"&amp;$D51,Import!$C:$H,6,FALSE))</f>
        <v/>
      </c>
      <c r="T51" s="157"/>
      <c r="U51" s="256"/>
    </row>
    <row r="52" spans="1:21" s="300" customFormat="1" ht="45" customHeight="1" x14ac:dyDescent="0.2">
      <c r="A52" s="309"/>
      <c r="B52" s="1213"/>
      <c r="C52" s="1226">
        <v>3</v>
      </c>
      <c r="D52" s="406" t="s">
        <v>24</v>
      </c>
      <c r="E52" s="507" t="str">
        <f>IF(VLOOKUP(CONCATENATE($C$3,"-",$D52),Languages!$A:$D,1,TRUE)=CONCATENATE($C$3,"-",$D52),VLOOKUP(CONCATENATE($C$3,"-",$D52),Languages!$A:$D,Summary!$C$7,TRUE),NA())</f>
        <v>THREAT-osion toimintaa ohjataan vaatimuksilla, jotka on asetettu organisaation johtotason politiikassa (tai vastaavassa ohjeistuksessa).</v>
      </c>
      <c r="F52" s="396">
        <f t="shared" si="2"/>
        <v>0</v>
      </c>
      <c r="G52" s="485"/>
      <c r="H52" s="482"/>
      <c r="I52" s="482"/>
      <c r="J52" s="482"/>
      <c r="K52" s="491"/>
      <c r="L52" s="157"/>
      <c r="M52" s="309"/>
      <c r="N52" s="1213"/>
      <c r="O52" s="988" t="str">
        <f>VLOOKUP(VLOOKUP($C$3&amp;"-"&amp;$D52,Import!$C:$D,2,FALSE),Parameters!$C$18:$F$22,Summary!$C$7,FALSE)</f>
        <v xml:space="preserve">0 - Vastaus puuttuu </v>
      </c>
      <c r="P52" s="1022" t="str">
        <f>IF(VLOOKUP($C$3&amp;"-"&amp;$D52,Import!$C:$H,3,FALSE)=0,"",VLOOKUP($C$3&amp;"-"&amp;$D52,Import!$C:$H,3,FALSE))</f>
        <v/>
      </c>
      <c r="Q52" s="1022" t="str">
        <f>IF(VLOOKUP($C$3&amp;"-"&amp;$D52,Import!$C:$H,4,FALSE)=0,"",VLOOKUP($C$3&amp;"-"&amp;$D52,Import!$C:$H,4,FALSE))</f>
        <v/>
      </c>
      <c r="R52" s="1022" t="str">
        <f>IF(VLOOKUP($C$3&amp;"-"&amp;$D52,Import!$C:$H,5,FALSE)=0,"",VLOOKUP($C$3&amp;"-"&amp;$D52,Import!$C:$H,5,FALSE))</f>
        <v/>
      </c>
      <c r="S52" s="1023" t="str">
        <f>IF(VLOOKUP($C$3&amp;"-"&amp;$D52,Import!$C:$H,6,FALSE)=0,"",VLOOKUP($C$3&amp;"-"&amp;$D52,Import!$C:$H,6,FALSE))</f>
        <v/>
      </c>
      <c r="T52" s="157"/>
      <c r="U52" s="256"/>
    </row>
    <row r="53" spans="1:21" s="300" customFormat="1" ht="34.950000000000003" customHeight="1" x14ac:dyDescent="0.2">
      <c r="A53" s="309"/>
      <c r="B53" s="1213"/>
      <c r="C53" s="1228"/>
      <c r="D53" s="298" t="s">
        <v>25</v>
      </c>
      <c r="E53" s="508" t="str">
        <f>IF(VLOOKUP(CONCATENATE($C$3,"-",$D53),Languages!$A:$D,1,TRUE)=CONCATENATE($C$3,"-",$D53),VLOOKUP(CONCATENATE($C$3,"-",$D53),Languages!$A:$D,Summary!$C$7,TRUE),NA())</f>
        <v>THREAT-osion toimintaa suorittavilla työntekijöillä on riittävät tiedot ja taidot tehtäviensä suorittamiseen.</v>
      </c>
      <c r="F53" s="291">
        <f t="shared" si="2"/>
        <v>0</v>
      </c>
      <c r="G53" s="311"/>
      <c r="H53" s="483"/>
      <c r="I53" s="483"/>
      <c r="J53" s="483"/>
      <c r="K53" s="492"/>
      <c r="L53" s="157"/>
      <c r="M53" s="309"/>
      <c r="N53" s="1213"/>
      <c r="O53" s="991" t="str">
        <f>VLOOKUP(VLOOKUP($C$3&amp;"-"&amp;$D53,Import!$C:$D,2,FALSE),Parameters!$C$18:$F$22,Summary!$C$7,FALSE)</f>
        <v xml:space="preserve">0 - Vastaus puuttuu </v>
      </c>
      <c r="P53" s="1017" t="str">
        <f>IF(VLOOKUP($C$3&amp;"-"&amp;$D53,Import!$C:$H,3,FALSE)=0,"",VLOOKUP($C$3&amp;"-"&amp;$D53,Import!$C:$H,3,FALSE))</f>
        <v/>
      </c>
      <c r="Q53" s="1017" t="str">
        <f>IF(VLOOKUP($C$3&amp;"-"&amp;$D53,Import!$C:$H,4,FALSE)=0,"",VLOOKUP($C$3&amp;"-"&amp;$D53,Import!$C:$H,4,FALSE))</f>
        <v/>
      </c>
      <c r="R53" s="1017" t="str">
        <f>IF(VLOOKUP($C$3&amp;"-"&amp;$D53,Import!$C:$H,5,FALSE)=0,"",VLOOKUP($C$3&amp;"-"&amp;$D53,Import!$C:$H,5,FALSE))</f>
        <v/>
      </c>
      <c r="S53" s="1018" t="str">
        <f>IF(VLOOKUP($C$3&amp;"-"&amp;$D53,Import!$C:$H,6,FALSE)=0,"",VLOOKUP($C$3&amp;"-"&amp;$D53,Import!$C:$H,6,FALSE))</f>
        <v/>
      </c>
      <c r="T53" s="157"/>
      <c r="U53" s="256"/>
    </row>
    <row r="54" spans="1:21" s="300" customFormat="1" ht="45" customHeight="1" x14ac:dyDescent="0.2">
      <c r="A54" s="309"/>
      <c r="B54" s="1213"/>
      <c r="C54" s="1228"/>
      <c r="D54" s="298" t="s">
        <v>26</v>
      </c>
      <c r="E54" s="508" t="str">
        <f>IF(VLOOKUP(CONCATENATE($C$3,"-",$D54),Languages!$A:$D,1,TRUE)=CONCATENATE($C$3,"-",$D54),VLOOKUP(CONCATENATE($C$3,"-",$D54),Languages!$A:$D,Summary!$C$7,TRUE),NA())</f>
        <v>THREAT-osion toiminnan suorittamiseen tarvittavat vastuut, tilivelvollisuudet ja valtuutukset on jalkautettu soveltuville työntekijöille.</v>
      </c>
      <c r="F54" s="291">
        <f t="shared" si="2"/>
        <v>0</v>
      </c>
      <c r="G54" s="311"/>
      <c r="H54" s="483"/>
      <c r="I54" s="483"/>
      <c r="J54" s="483"/>
      <c r="K54" s="492"/>
      <c r="L54" s="157"/>
      <c r="M54" s="309"/>
      <c r="N54" s="1213"/>
      <c r="O54" s="991" t="str">
        <f>VLOOKUP(VLOOKUP($C$3&amp;"-"&amp;$D54,Import!$C:$D,2,FALSE),Parameters!$C$18:$F$22,Summary!$C$7,FALSE)</f>
        <v xml:space="preserve">0 - Vastaus puuttuu </v>
      </c>
      <c r="P54" s="1017" t="str">
        <f>IF(VLOOKUP($C$3&amp;"-"&amp;$D54,Import!$C:$H,3,FALSE)=0,"",VLOOKUP($C$3&amp;"-"&amp;$D54,Import!$C:$H,3,FALSE))</f>
        <v/>
      </c>
      <c r="Q54" s="1017" t="str">
        <f>IF(VLOOKUP($C$3&amp;"-"&amp;$D54,Import!$C:$H,4,FALSE)=0,"",VLOOKUP($C$3&amp;"-"&amp;$D54,Import!$C:$H,4,FALSE))</f>
        <v/>
      </c>
      <c r="R54" s="1017" t="str">
        <f>IF(VLOOKUP($C$3&amp;"-"&amp;$D54,Import!$C:$H,5,FALSE)=0,"",VLOOKUP($C$3&amp;"-"&amp;$D54,Import!$C:$H,5,FALSE))</f>
        <v/>
      </c>
      <c r="S54" s="1018" t="str">
        <f>IF(VLOOKUP($C$3&amp;"-"&amp;$D54,Import!$C:$H,6,FALSE)=0,"",VLOOKUP($C$3&amp;"-"&amp;$D54,Import!$C:$H,6,FALSE))</f>
        <v/>
      </c>
      <c r="T54" s="157"/>
      <c r="U54" s="256"/>
    </row>
    <row r="55" spans="1:21" s="300" customFormat="1" ht="34.950000000000003" customHeight="1" x14ac:dyDescent="0.2">
      <c r="A55" s="309"/>
      <c r="B55" s="1213"/>
      <c r="C55" s="1227"/>
      <c r="D55" s="407" t="s">
        <v>27</v>
      </c>
      <c r="E55" s="514" t="str">
        <f>IF(VLOOKUP(CONCATENATE($C$3,"-",$D55),Languages!$A:$D,1,TRUE)=CONCATENATE($C$3,"-",$D55),VLOOKUP(CONCATENATE($C$3,"-",$D55),Languages!$A:$D,Summary!$C$7,TRUE),NA())</f>
        <v>THREAT-osion toiminnan vaikuttavuutta arvioidaan ja seurataan.</v>
      </c>
      <c r="F55" s="403">
        <f t="shared" si="2"/>
        <v>0</v>
      </c>
      <c r="G55" s="489"/>
      <c r="H55" s="484"/>
      <c r="I55" s="484"/>
      <c r="J55" s="484"/>
      <c r="K55" s="493"/>
      <c r="L55" s="157"/>
      <c r="M55" s="309"/>
      <c r="N55" s="1213"/>
      <c r="O55" s="996" t="str">
        <f>VLOOKUP(VLOOKUP($C$3&amp;"-"&amp;$D55,Import!$C:$D,2,FALSE),Parameters!$C$18:$F$22,Summary!$C$7,FALSE)</f>
        <v xml:space="preserve">0 - Vastaus puuttuu </v>
      </c>
      <c r="P55" s="1024" t="str">
        <f>IF(VLOOKUP($C$3&amp;"-"&amp;$D55,Import!$C:$H,3,FALSE)=0,"",VLOOKUP($C$3&amp;"-"&amp;$D55,Import!$C:$H,3,FALSE))</f>
        <v/>
      </c>
      <c r="Q55" s="1024" t="str">
        <f>IF(VLOOKUP($C$3&amp;"-"&amp;$D55,Import!$C:$H,4,FALSE)=0,"",VLOOKUP($C$3&amp;"-"&amp;$D55,Import!$C:$H,4,FALSE))</f>
        <v/>
      </c>
      <c r="R55" s="1024" t="str">
        <f>IF(VLOOKUP($C$3&amp;"-"&amp;$D55,Import!$C:$H,5,FALSE)=0,"",VLOOKUP($C$3&amp;"-"&amp;$D55,Import!$C:$H,5,FALSE))</f>
        <v/>
      </c>
      <c r="S55" s="1025" t="str">
        <f>IF(VLOOKUP($C$3&amp;"-"&amp;$D55,Import!$C:$H,6,FALSE)=0,"",VLOOKUP($C$3&amp;"-"&amp;$D55,Import!$C:$H,6,FALSE))</f>
        <v/>
      </c>
      <c r="T55" s="157"/>
      <c r="U55" s="256"/>
    </row>
    <row r="56" spans="1:21" x14ac:dyDescent="0.2">
      <c r="A56" s="184"/>
      <c r="B56" s="333"/>
      <c r="C56" s="334"/>
      <c r="D56" s="335"/>
      <c r="E56" s="336"/>
      <c r="F56" s="337"/>
      <c r="G56" s="338"/>
      <c r="H56" s="339"/>
      <c r="I56" s="339"/>
      <c r="J56" s="339"/>
      <c r="K56" s="339"/>
      <c r="L56" s="539"/>
      <c r="M56" s="184"/>
      <c r="N56" s="333"/>
      <c r="O56" s="338"/>
      <c r="P56" s="339"/>
      <c r="Q56" s="339"/>
      <c r="R56" s="339"/>
      <c r="S56" s="339"/>
      <c r="T56" s="539"/>
      <c r="U56" s="256"/>
    </row>
    <row r="57" spans="1:21" x14ac:dyDescent="0.25">
      <c r="A57" s="184"/>
      <c r="B57" s="184"/>
      <c r="C57" s="184"/>
      <c r="D57" s="184"/>
      <c r="E57" s="184"/>
      <c r="F57" s="340"/>
      <c r="G57" s="184"/>
      <c r="H57" s="184"/>
      <c r="I57" s="184"/>
      <c r="J57" s="184"/>
      <c r="K57" s="184"/>
      <c r="L57" s="184"/>
      <c r="M57" s="184"/>
      <c r="N57" s="184"/>
      <c r="O57" s="184"/>
      <c r="P57" s="184"/>
      <c r="Q57" s="184"/>
      <c r="R57" s="184"/>
      <c r="S57" s="184"/>
      <c r="T57" s="184"/>
      <c r="U57" s="313"/>
    </row>
    <row r="58" spans="1:21" x14ac:dyDescent="0.25">
      <c r="L58" s="344"/>
      <c r="M58" s="343"/>
      <c r="N58" s="185"/>
      <c r="T58" s="344"/>
      <c r="U58" s="343"/>
    </row>
    <row r="59" spans="1:21" x14ac:dyDescent="0.25">
      <c r="L59" s="344"/>
      <c r="M59" s="343"/>
      <c r="N59" s="185"/>
      <c r="T59" s="344"/>
      <c r="U59" s="343"/>
    </row>
  </sheetData>
  <sheetProtection sheet="1" formatCells="0" formatColumns="0" formatRows="0"/>
  <mergeCells count="29">
    <mergeCell ref="C17:K17"/>
    <mergeCell ref="O3:S17"/>
    <mergeCell ref="C6:K6"/>
    <mergeCell ref="I8:J8"/>
    <mergeCell ref="I10:J11"/>
    <mergeCell ref="C13:K13"/>
    <mergeCell ref="C15:K15"/>
    <mergeCell ref="B54:B55"/>
    <mergeCell ref="B50:B53"/>
    <mergeCell ref="B36:B37"/>
    <mergeCell ref="B38:B46"/>
    <mergeCell ref="B22:B23"/>
    <mergeCell ref="B24:B27"/>
    <mergeCell ref="B28:B33"/>
    <mergeCell ref="N54:N55"/>
    <mergeCell ref="C36:C38"/>
    <mergeCell ref="C22:C25"/>
    <mergeCell ref="C26:C30"/>
    <mergeCell ref="C39:C42"/>
    <mergeCell ref="C50:C51"/>
    <mergeCell ref="C52:C55"/>
    <mergeCell ref="C43:C46"/>
    <mergeCell ref="C31:C33"/>
    <mergeCell ref="N38:N46"/>
    <mergeCell ref="N22:N23"/>
    <mergeCell ref="N24:N27"/>
    <mergeCell ref="N28:N33"/>
    <mergeCell ref="N36:N37"/>
    <mergeCell ref="N50:N53"/>
  </mergeCells>
  <conditionalFormatting sqref="F4:F5 F7:F12 F22:F34 F36:F47 F49:F1048576">
    <cfRule type="containsText" dxfId="244" priority="21" operator="containsText" text="0">
      <formula>NOT(ISERROR(SEARCH("0",F4)))</formula>
    </cfRule>
  </conditionalFormatting>
  <conditionalFormatting sqref="F1 F3">
    <cfRule type="containsText" dxfId="243" priority="14" operator="containsText" text="0">
      <formula>NOT(ISERROR(SEARCH("0",F1)))</formula>
    </cfRule>
  </conditionalFormatting>
  <conditionalFormatting sqref="F2">
    <cfRule type="containsText" dxfId="242" priority="13" operator="containsText" text="0">
      <formula>NOT(ISERROR(SEARCH("0",F2)))</formula>
    </cfRule>
  </conditionalFormatting>
  <conditionalFormatting sqref="F48">
    <cfRule type="containsText" dxfId="241" priority="11" operator="containsText" text="0">
      <formula>NOT(ISERROR(SEARCH("0",F48)))</formula>
    </cfRule>
  </conditionalFormatting>
  <conditionalFormatting sqref="F35">
    <cfRule type="containsText" dxfId="240" priority="9" operator="containsText" text="0">
      <formula>NOT(ISERROR(SEARCH("0",F35)))</formula>
    </cfRule>
  </conditionalFormatting>
  <conditionalFormatting sqref="F21">
    <cfRule type="containsText" dxfId="239" priority="7" operator="containsText" text="0">
      <formula>NOT(ISERROR(SEARCH("0",F21)))</formula>
    </cfRule>
  </conditionalFormatting>
  <conditionalFormatting sqref="F14">
    <cfRule type="containsText" dxfId="238" priority="6" operator="containsText" text="0">
      <formula>NOT(ISERROR(SEARCH("0",F14)))</formula>
    </cfRule>
  </conditionalFormatting>
  <conditionalFormatting sqref="F16">
    <cfRule type="containsText" dxfId="237" priority="4" operator="containsText" text="0">
      <formula>NOT(ISERROR(SEARCH("0",F16)))</formula>
    </cfRule>
  </conditionalFormatting>
  <conditionalFormatting sqref="F20">
    <cfRule type="containsText" dxfId="236" priority="2" operator="containsText" text="0">
      <formula>NOT(ISERROR(SEARCH("0",F20)))</formula>
    </cfRule>
  </conditionalFormatting>
  <pageMargins left="0.7" right="0.7" top="0.75" bottom="0.75" header="0.3" footer="0.3"/>
  <pageSetup paperSize="9" scale="42" orientation="portrait" r:id="rId1"/>
  <rowBreaks count="1" manualBreakCount="1">
    <brk id="46" max="16383" man="1"/>
  </rowBreaks>
  <colBreaks count="1" manualBreakCount="1">
    <brk id="13" max="1048575" man="1"/>
  </colBreaks>
  <ignoredErrors>
    <ignoredError sqref="O33 O46 O55 O22 O23 O24 O25 O26 O27 O28 O29 O30 O31 O32 O36 O37 O38 O39 O40 O41 O42 O43 O44 O45 O50 O51 O52 O53 O54 P23:S33 P36:S46 P50:S55 Q22:S22" unlockedFormula="1"/>
  </ignoredErrors>
  <drawing r:id="rId2"/>
  <extLst>
    <ext xmlns:x14="http://schemas.microsoft.com/office/spreadsheetml/2009/9/main" uri="{78C0D931-6437-407d-A8EE-F0AAD7539E65}">
      <x14:conditionalFormattings>
        <x14:conditionalFormatting xmlns:xm="http://schemas.microsoft.com/office/excel/2006/main">
          <x14:cfRule type="iconSet" priority="22" id="{76FB6613-1913-4181-ABBA-B090D95D2140}">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F49</xm:sqref>
        </x14:conditionalFormatting>
        <x14:conditionalFormatting xmlns:xm="http://schemas.microsoft.com/office/excel/2006/main">
          <x14:cfRule type="iconSet" priority="20" id="{095DB739-B76E-4A8E-BFAE-D5896F62EB0E}">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F49:F1048576 F36:F47 F22:F34 F4:F5 F7:F12</xm:sqref>
        </x14:conditionalFormatting>
        <x14:conditionalFormatting xmlns:xm="http://schemas.microsoft.com/office/excel/2006/main">
          <x14:cfRule type="iconSet" priority="15" id="{38BC4B15-C68B-44D1-A815-48987BDE19C8}">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F3 F1</xm:sqref>
        </x14:conditionalFormatting>
        <x14:conditionalFormatting xmlns:xm="http://schemas.microsoft.com/office/excel/2006/main">
          <x14:cfRule type="iconSet" priority="16" id="{8430746D-7FF3-4393-8972-4D01F30BAA24}">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F2</xm:sqref>
        </x14:conditionalFormatting>
        <x14:conditionalFormatting xmlns:xm="http://schemas.microsoft.com/office/excel/2006/main">
          <x14:cfRule type="iconSet" priority="12" id="{5AEA4943-04A1-400E-B576-2AE926FDAC70}">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F48</xm:sqref>
        </x14:conditionalFormatting>
        <x14:conditionalFormatting xmlns:xm="http://schemas.microsoft.com/office/excel/2006/main">
          <x14:cfRule type="iconSet" priority="10" id="{48221DF0-24F7-4DA4-ACA5-111764EBD8C6}">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F35</xm:sqref>
        </x14:conditionalFormatting>
        <x14:conditionalFormatting xmlns:xm="http://schemas.microsoft.com/office/excel/2006/main">
          <x14:cfRule type="iconSet" priority="8" id="{8967BC69-E1E8-4F19-8A52-EB01C54FB579}">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F21</xm:sqref>
        </x14:conditionalFormatting>
        <x14:conditionalFormatting xmlns:xm="http://schemas.microsoft.com/office/excel/2006/main">
          <x14:cfRule type="iconSet" priority="5" id="{F60EED03-D3BC-4836-B1C1-5019CAC75B47}">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F14</xm:sqref>
        </x14:conditionalFormatting>
        <x14:conditionalFormatting xmlns:xm="http://schemas.microsoft.com/office/excel/2006/main">
          <x14:cfRule type="iconSet" priority="3" id="{0564741F-BE63-4539-A7B6-4D614812D586}">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F16</xm:sqref>
        </x14:conditionalFormatting>
        <x14:conditionalFormatting xmlns:xm="http://schemas.microsoft.com/office/excel/2006/main">
          <x14:cfRule type="iconSet" priority="1" id="{5694A405-2778-4669-B238-ACA069BD48B2}">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F20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Parameters!$B$18:$B$22</xm:f>
          </x14:formula1>
          <xm:sqref>G22:G33 G36:G46 G50:G55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2" tint="0.79998168889431442"/>
  </sheetPr>
  <dimension ref="A1:U73"/>
  <sheetViews>
    <sheetView showGridLines="0" zoomScale="80" zoomScaleNormal="80" workbookViewId="0"/>
  </sheetViews>
  <sheetFormatPr defaultColWidth="9.26953125" defaultRowHeight="13.8" x14ac:dyDescent="0.25"/>
  <cols>
    <col min="1" max="2" width="1.6328125" style="143" customWidth="1"/>
    <col min="3" max="3" width="2.6328125" style="143" customWidth="1"/>
    <col min="4" max="4" width="3.1796875" style="304" customWidth="1"/>
    <col min="5" max="5" width="55.6328125" style="143" customWidth="1"/>
    <col min="6" max="6" width="2.6328125" style="305" customWidth="1"/>
    <col min="7" max="7" width="14.6328125" style="264" customWidth="1"/>
    <col min="8" max="8" width="30.6328125" customWidth="1"/>
    <col min="9" max="9" width="20.6328125" customWidth="1"/>
    <col min="10" max="10" width="20.6328125" style="306" customWidth="1"/>
    <col min="11" max="11" width="10.6328125" style="143" customWidth="1"/>
    <col min="12" max="12" width="1.6328125" style="307" customWidth="1"/>
    <col min="13" max="13" width="1.6328125" style="143" customWidth="1"/>
    <col min="14" max="14" width="1.6328125" style="307" customWidth="1"/>
    <col min="15" max="15" width="14.6328125" style="264" customWidth="1"/>
    <col min="16" max="16" width="30.6328125" customWidth="1"/>
    <col min="17" max="17" width="20.6328125" customWidth="1"/>
    <col min="18" max="18" width="20.6328125" style="306" customWidth="1"/>
    <col min="19" max="19" width="10.6328125" style="143" customWidth="1"/>
    <col min="20" max="20" width="1.6328125" style="307" customWidth="1"/>
    <col min="21" max="21" width="1.6328125" style="143" customWidth="1"/>
    <col min="22" max="16384" width="9.26953125" style="143"/>
  </cols>
  <sheetData>
    <row r="1" spans="1:21" ht="11.4" x14ac:dyDescent="0.25">
      <c r="A1" s="138"/>
      <c r="B1" s="138"/>
      <c r="C1" s="138"/>
      <c r="D1" s="138"/>
      <c r="E1" s="138"/>
      <c r="F1" s="255"/>
      <c r="G1" s="254"/>
      <c r="H1" s="254"/>
      <c r="I1" s="254"/>
      <c r="J1" s="254"/>
      <c r="K1" s="254"/>
      <c r="L1" s="138"/>
      <c r="M1" s="138"/>
      <c r="N1" s="138"/>
      <c r="O1" s="254"/>
      <c r="P1" s="254"/>
      <c r="Q1" s="254"/>
      <c r="R1" s="254"/>
      <c r="S1" s="254"/>
      <c r="T1" s="138"/>
      <c r="U1" s="138"/>
    </row>
    <row r="2" spans="1:21" s="261" customFormat="1" ht="15" customHeight="1" x14ac:dyDescent="0.2">
      <c r="A2" s="256"/>
      <c r="B2" s="145"/>
      <c r="C2" s="257"/>
      <c r="D2" s="148"/>
      <c r="E2" s="258"/>
      <c r="F2" s="149"/>
      <c r="G2" s="259"/>
      <c r="H2" s="259"/>
      <c r="I2" s="259"/>
      <c r="J2" s="259"/>
      <c r="K2" s="259"/>
      <c r="L2" s="150"/>
      <c r="M2" s="256"/>
      <c r="N2" s="903"/>
      <c r="O2" s="904"/>
      <c r="P2" s="904"/>
      <c r="Q2" s="904"/>
      <c r="R2" s="904"/>
      <c r="S2" s="904"/>
      <c r="T2" s="905"/>
      <c r="U2" s="256"/>
    </row>
    <row r="3" spans="1:21" s="261" customFormat="1" ht="25.05" customHeight="1" x14ac:dyDescent="0.25">
      <c r="A3" s="256"/>
      <c r="B3" s="152"/>
      <c r="C3" s="153" t="s">
        <v>0</v>
      </c>
      <c r="D3" s="154"/>
      <c r="E3" s="436"/>
      <c r="F3" s="155"/>
      <c r="H3" s="272" t="str">
        <f>IF(VLOOKUP("GEN-TOTAL",Languages!$A:$D,1,TRUE)="GEN-TOTAL",VLOOKUP("GEN-TOTAL",Languages!$A:$D,Summary!$C$7,TRUE),NA())</f>
        <v>Kokonaisarvio</v>
      </c>
      <c r="I3" s="156" t="str">
        <f>IF(VLOOKUP("GEN-SEC",Languages!$A:$D,1,TRUE)="GEN-SEC",VLOOKUP("GEN-SEC",Languages!$A:$D,Summary!$C$7,TRUE),NA())</f>
        <v>Tiedon luokittelu</v>
      </c>
      <c r="J3" s="437"/>
      <c r="L3" s="157"/>
      <c r="M3" s="256"/>
      <c r="N3" s="906"/>
      <c r="O3" s="1219" t="str">
        <f>VLOOKUP($C$3,Infoimport!$B$4:$C$14,2,FALSE)</f>
        <v>RISK, tiedot Infoimport-välilehdeltä</v>
      </c>
      <c r="P3" s="1219"/>
      <c r="Q3" s="1219"/>
      <c r="R3" s="1219"/>
      <c r="S3" s="1219"/>
      <c r="T3" s="907"/>
      <c r="U3" s="256"/>
    </row>
    <row r="4" spans="1:21" ht="25.05" customHeight="1" x14ac:dyDescent="0.3">
      <c r="A4" s="138"/>
      <c r="B4" s="160"/>
      <c r="C4" s="158" t="str">
        <f>IF(VLOOKUP($C$3,Languages!$A:$D,1,TRUE)=$C$3,VLOOKUP($C$3,Languages!$A:$D,Summary!$C$7,TRUE),NA())</f>
        <v>Riskienhallinta (RISK)</v>
      </c>
      <c r="D4" s="262"/>
      <c r="E4" s="263"/>
      <c r="F4" s="265"/>
      <c r="H4" s="265" t="str">
        <f ca="1">VLOOKUP(VLOOKUP(CONCATENATE($C$3),Data!$K:$O,5,FALSE),Parameters!$C$7:$F$10,Summary!$C$7,FALSE)</f>
        <v>Kypsyystaso 0</v>
      </c>
      <c r="I4" s="781"/>
      <c r="J4" s="266"/>
      <c r="K4" s="261"/>
      <c r="L4" s="157"/>
      <c r="M4" s="138"/>
      <c r="N4" s="906"/>
      <c r="O4" s="1219"/>
      <c r="P4" s="1219"/>
      <c r="Q4" s="1219"/>
      <c r="R4" s="1219"/>
      <c r="S4" s="1219"/>
      <c r="T4" s="907"/>
      <c r="U4" s="138"/>
    </row>
    <row r="5" spans="1:21" ht="10.050000000000001" customHeight="1" x14ac:dyDescent="0.25">
      <c r="A5" s="138"/>
      <c r="B5" s="160"/>
      <c r="C5" s="267"/>
      <c r="D5" s="162"/>
      <c r="E5" s="162"/>
      <c r="F5" s="163"/>
      <c r="G5" s="163"/>
      <c r="I5" s="266"/>
      <c r="J5" s="266"/>
      <c r="K5" s="261"/>
      <c r="L5" s="157"/>
      <c r="M5" s="138"/>
      <c r="N5" s="906"/>
      <c r="O5" s="1219"/>
      <c r="P5" s="1219"/>
      <c r="Q5" s="1219"/>
      <c r="R5" s="1219"/>
      <c r="S5" s="1219"/>
      <c r="T5" s="907"/>
      <c r="U5" s="138"/>
    </row>
    <row r="6" spans="1:21" s="187" customFormat="1" ht="67.05" customHeight="1" x14ac:dyDescent="0.2">
      <c r="A6" s="181"/>
      <c r="B6" s="312"/>
      <c r="C6" s="1216" t="str">
        <f>IF(VLOOKUP(CONCATENATE(C3,"-0"),Languages!$A:$D,1,TRUE)=CONCATENATE(C3,"-0"),VLOOKUP(CONCATENATE(C3,"-0"),Languages!$A:$D,Summary!$C$7,TRUE),NA())</f>
        <v>Riskienhallinnan osiossa arvioidaan organisaation kykyä tunnistaa ja hallita toimintaansa kohdistuvia kyberturvallisuusriskejä (eli kyberriskejä). Organisaation tulee luoda ja ylläpitää koko organisaation kattavaa riskienhallintaohjelmaa tunnistaakseen, arvioidakseen ja hallitakseen kyberriskejä. Riskienhallintaohjelman tulee kattaa kaikki organisaation liiketoimintayksiköt, tytäryhtiöt, toiminnan kannalta kriittisen infrastruktuurin ja tärkeimmät sidosryhmät).</v>
      </c>
      <c r="D6" s="1216"/>
      <c r="E6" s="1216"/>
      <c r="F6" s="1216"/>
      <c r="G6" s="1216"/>
      <c r="H6" s="1216"/>
      <c r="I6" s="1216"/>
      <c r="J6" s="1216"/>
      <c r="K6" s="1216"/>
      <c r="L6" s="157"/>
      <c r="M6" s="181"/>
      <c r="N6" s="906"/>
      <c r="O6" s="1219"/>
      <c r="P6" s="1219"/>
      <c r="Q6" s="1219"/>
      <c r="R6" s="1219"/>
      <c r="S6" s="1219"/>
      <c r="T6" s="907"/>
      <c r="U6" s="181"/>
    </row>
    <row r="7" spans="1:21" s="187" customFormat="1" ht="19.95" customHeight="1" x14ac:dyDescent="0.2">
      <c r="A7" s="181"/>
      <c r="B7" s="312"/>
      <c r="C7" s="268">
        <v>1</v>
      </c>
      <c r="D7" s="269" t="s">
        <v>1</v>
      </c>
      <c r="E7" s="270" t="str">
        <f>IF(VLOOKUP(CONCATENATE($C$3,"-",C7),Languages!$A:$D,1,TRUE)=CONCATENATE($C$3,"-",C7),VLOOKUP(CONCATENATE($C$3,"-",C7),Languages!$A:$D,Summary!$C$7,TRUE),NA())</f>
        <v>Kyberriskienhallinnan suunnitelma</v>
      </c>
      <c r="F7" s="314"/>
      <c r="H7" s="271" t="str">
        <f ca="1">VLOOKUP(VLOOKUP(CONCATENATE($C$3,"-",$C7),Data!$K:$O,5,FALSE),Parameters!$C$7:$F$10,Summary!$C$7,FALSE)</f>
        <v>Kypsyystaso 0</v>
      </c>
      <c r="I7" s="505" t="str">
        <f>IF(VLOOKUP("KM110",Languages!$A:$D,1,TRUE)="KM110",VLOOKUP("KM110",Languages!$A:$D,Summary!$C$7,TRUE),NA())</f>
        <v>Päivämäärä</v>
      </c>
      <c r="J7" s="479"/>
      <c r="K7" s="261"/>
      <c r="L7" s="157"/>
      <c r="M7" s="181"/>
      <c r="N7" s="906"/>
      <c r="O7" s="1219"/>
      <c r="P7" s="1219"/>
      <c r="Q7" s="1219"/>
      <c r="R7" s="1219"/>
      <c r="S7" s="1219"/>
      <c r="T7" s="907"/>
      <c r="U7" s="181"/>
    </row>
    <row r="8" spans="1:21" s="187" customFormat="1" ht="19.95" customHeight="1" x14ac:dyDescent="0.2">
      <c r="A8" s="181"/>
      <c r="B8" s="312"/>
      <c r="C8" s="268">
        <v>2</v>
      </c>
      <c r="D8" s="269" t="s">
        <v>1</v>
      </c>
      <c r="E8" s="270" t="str">
        <f>IF(VLOOKUP(CONCATENATE($C$3,"-",C8),Languages!$A:$D,1,TRUE)=CONCATENATE($C$3,"-",C8),VLOOKUP(CONCATENATE($C$3,"-",C8),Languages!$A:$D,Summary!$C$7,TRUE),NA())</f>
        <v>Kyberriskien tunnistaminen</v>
      </c>
      <c r="F8" s="314"/>
      <c r="H8" s="271" t="str">
        <f ca="1">VLOOKUP(VLOOKUP(CONCATENATE($C$3,"-",$C8),Data!$K:$O,5,FALSE),Parameters!$C$7:$F$10,Summary!$C$7,FALSE)</f>
        <v>Kypsyystaso 0</v>
      </c>
      <c r="I8" s="1217"/>
      <c r="J8" s="1218"/>
      <c r="K8" s="261"/>
      <c r="L8" s="157"/>
      <c r="M8" s="181"/>
      <c r="N8" s="906"/>
      <c r="O8" s="1219"/>
      <c r="P8" s="1219"/>
      <c r="Q8" s="1219"/>
      <c r="R8" s="1219"/>
      <c r="S8" s="1219"/>
      <c r="T8" s="907"/>
      <c r="U8" s="181"/>
    </row>
    <row r="9" spans="1:21" s="187" customFormat="1" ht="19.95" customHeight="1" x14ac:dyDescent="0.2">
      <c r="A9" s="181"/>
      <c r="B9" s="312"/>
      <c r="C9" s="268">
        <v>3</v>
      </c>
      <c r="D9" s="269" t="s">
        <v>1</v>
      </c>
      <c r="E9" s="270" t="str">
        <f>IF(VLOOKUP(CONCATENATE($C$3,"-",C9),Languages!$A:$D,1,TRUE)=CONCATENATE($C$3,"-",C9),VLOOKUP(CONCATENATE($C$3,"-",C9),Languages!$A:$D,Summary!$C$7,TRUE),NA())</f>
        <v>Riskien analysointi</v>
      </c>
      <c r="F9" s="314"/>
      <c r="H9" s="271" t="str">
        <f ca="1">VLOOKUP(VLOOKUP(CONCATENATE($C$3,"-",$C9),Data!$K:$O,5,FALSE),Parameters!$C$7:$F$10,Summary!$C$7,FALSE)</f>
        <v>Kypsyystaso 0</v>
      </c>
      <c r="I9" s="505" t="str">
        <f>IF(VLOOKUP("KM111",Languages!$A:$D,1,TRUE)="KM111",VLOOKUP("KM111",Languages!$A:$D,Summary!$C$7,TRUE),NA())</f>
        <v>Osallistujat</v>
      </c>
      <c r="J9" s="479"/>
      <c r="K9" s="261"/>
      <c r="L9" s="157"/>
      <c r="M9" s="181"/>
      <c r="N9" s="906"/>
      <c r="O9" s="1219"/>
      <c r="P9" s="1219"/>
      <c r="Q9" s="1219"/>
      <c r="R9" s="1219"/>
      <c r="S9" s="1219"/>
      <c r="T9" s="907"/>
      <c r="U9" s="181"/>
    </row>
    <row r="10" spans="1:21" s="187" customFormat="1" ht="19.95" customHeight="1" x14ac:dyDescent="0.2">
      <c r="A10" s="181"/>
      <c r="B10" s="312"/>
      <c r="C10" s="268">
        <v>4</v>
      </c>
      <c r="D10" s="269" t="s">
        <v>1</v>
      </c>
      <c r="E10" s="270" t="str">
        <f>IF(VLOOKUP(CONCATENATE($C$3,"-",C10),Languages!$A:$D,1,TRUE)=CONCATENATE($C$3,"-",C10),VLOOKUP(CONCATENATE($C$3,"-",C10),Languages!$A:$D,Summary!$C$7,TRUE),NA())</f>
        <v>Riskeihin reagointi</v>
      </c>
      <c r="F10" s="314"/>
      <c r="H10" s="271" t="str">
        <f ca="1">VLOOKUP(VLOOKUP(CONCATENATE($C$3,"-",$C10),Data!$K:$O,5,FALSE),Parameters!$C$7:$F$10,Summary!$C$7,FALSE)</f>
        <v>Kypsyystaso 0</v>
      </c>
      <c r="I10" s="1208"/>
      <c r="J10" s="1209"/>
      <c r="K10" s="261"/>
      <c r="L10" s="157"/>
      <c r="M10" s="181"/>
      <c r="N10" s="906"/>
      <c r="O10" s="1219"/>
      <c r="P10" s="1219"/>
      <c r="Q10" s="1219"/>
      <c r="R10" s="1219"/>
      <c r="S10" s="1219"/>
      <c r="T10" s="907"/>
      <c r="U10" s="181"/>
    </row>
    <row r="11" spans="1:21" s="187" customFormat="1" ht="19.95" customHeight="1" x14ac:dyDescent="0.2">
      <c r="A11" s="181"/>
      <c r="B11" s="312"/>
      <c r="C11" s="268">
        <v>5</v>
      </c>
      <c r="D11" s="269" t="s">
        <v>1</v>
      </c>
      <c r="E11" s="270" t="str">
        <f>IF(VLOOKUP(CONCATENATE($C$3,"-",C11),Languages!$A:$D,1,TRUE)=CONCATENATE($C$3,"-",C11),VLOOKUP(CONCATENATE($C$3,"-",C11),Languages!$A:$D,Summary!$C$7,TRUE),NA())</f>
        <v>Yleisiä hallintatoimia</v>
      </c>
      <c r="F11" s="314"/>
      <c r="H11" s="271" t="str">
        <f ca="1">VLOOKUP(VLOOKUP(CONCATENATE($C$3,"-",$C11),Data!$K:$O,5,FALSE),Parameters!$C$7:$F$10,Summary!$C$7,FALSE)</f>
        <v>Kypsyystaso 1</v>
      </c>
      <c r="I11" s="1210"/>
      <c r="J11" s="1211"/>
      <c r="K11" s="261"/>
      <c r="L11" s="157"/>
      <c r="M11" s="181"/>
      <c r="N11" s="906"/>
      <c r="O11" s="1219"/>
      <c r="P11" s="1219"/>
      <c r="Q11" s="1219"/>
      <c r="R11" s="1219"/>
      <c r="S11" s="1219"/>
      <c r="T11" s="907"/>
      <c r="U11" s="181"/>
    </row>
    <row r="12" spans="1:21" s="180" customFormat="1" ht="30" customHeight="1" x14ac:dyDescent="0.3">
      <c r="A12" s="169"/>
      <c r="B12" s="273"/>
      <c r="C12" s="173">
        <v>1</v>
      </c>
      <c r="D12" s="274" t="str">
        <f>IF(VLOOKUP(CONCATENATE($C$3,"-",C12),Languages!$A:$D,1,TRUE)=CONCATENATE($C$3,"-",C12),VLOOKUP(CONCATENATE($C$3,"-",C12),Languages!$A:$D,Summary!$C$7,TRUE),NA())</f>
        <v>Kyberriskienhallinnan suunnitelma</v>
      </c>
      <c r="E12" s="173"/>
      <c r="F12" s="275"/>
      <c r="G12" s="275"/>
      <c r="H12" s="275"/>
      <c r="I12" s="275"/>
      <c r="J12" s="275"/>
      <c r="K12" s="275"/>
      <c r="L12" s="157"/>
      <c r="M12" s="169"/>
      <c r="N12" s="906"/>
      <c r="O12" s="1219"/>
      <c r="P12" s="1219"/>
      <c r="Q12" s="1219"/>
      <c r="R12" s="1219"/>
      <c r="S12" s="1219"/>
      <c r="T12" s="907"/>
      <c r="U12" s="169"/>
    </row>
    <row r="13" spans="1:21" s="187" customFormat="1" ht="90" customHeight="1" x14ac:dyDescent="0.2">
      <c r="A13" s="181"/>
      <c r="B13" s="182"/>
      <c r="C13" s="1223" t="str">
        <f>IF(VLOOKUP(CONCATENATE($C$3,"-",$C12,"-0"),Languages!$A:$D,1,TRUE)=CONCATENATE($C$3,"-",$C12,"-0"),VLOOKUP(CONCATENATE($C$3,"-",$C12,"-0"),Languages!$A:$D,Summary!$C$7,TRUE),NA())</f>
        <v>Kyberriskienhallintaan kuuluu riskien tunnistaminen ja arviointi, käsittely (esimerkiksi hyväksymällä, välttämällä, pienentämällä tai siirtämällä) ja seuranta siten, että se on linjassa organisaatioiden tarpeiden kanssa. Keskeistä näille toimille on yhtenäinen ymmärrys kyberriskeistä ja suunnitelma niiden hallintaan. Joissakin organisaatioissa tätä kuvataan erillisen kyberriskienhallinnan strategian kautta. Kyberriskienhallintastrategia on organisaation ylätason strategia, joka määrittää organisaation riskinottohalukkuuden ja asettaa suunnan kyberriskien arvioinnille ja hallintatoimien priorisoinnille. Kyberriskienhallintastrategia kattaa mm. menetelmät kyberriskien arviointiin, strategian riskien monitorointiin sekä organisaation kyberturvallisuuden hallintamallin ("cybersecurity governance") määrittelyn. Strategiaan kuuluu olennaisena osana määrittää organisaatiotasoiset riskien arviointikriteerit (esim. riskirajat, käytettävissä olevat riskienhallintatoimenpiteet), jotka puolestaan ohjaavat koko organisaation kyberturvallisuusohjelmaa [kts. PROGRAM]. Kyberriskienhallintastrategian tulee olla linjassa organisaation yleisen riskienhallintastrategian kanssa, jotta voidaan varmistua että kyberriskejä hallitaan osana organisaation laajempia päämääriä ja tavoitteita.</v>
      </c>
      <c r="D13" s="1223"/>
      <c r="E13" s="1223"/>
      <c r="F13" s="1223"/>
      <c r="G13" s="1223"/>
      <c r="H13" s="1223"/>
      <c r="I13" s="1223"/>
      <c r="J13" s="1223"/>
      <c r="K13" s="1223"/>
      <c r="L13" s="157"/>
      <c r="M13" s="181"/>
      <c r="N13" s="906"/>
      <c r="O13" s="1219"/>
      <c r="P13" s="1219"/>
      <c r="Q13" s="1219"/>
      <c r="R13" s="1219"/>
      <c r="S13" s="1219"/>
      <c r="T13" s="907"/>
      <c r="U13" s="181"/>
    </row>
    <row r="14" spans="1:21" s="180" customFormat="1" ht="30" customHeight="1" x14ac:dyDescent="0.3">
      <c r="A14" s="169"/>
      <c r="B14" s="273"/>
      <c r="C14" s="274">
        <v>2</v>
      </c>
      <c r="D14" s="274" t="str">
        <f>IF(VLOOKUP(CONCATENATE($C$3,"-",C14),Languages!$A:$D,1,TRUE)=CONCATENATE($C$3,"-",C14),VLOOKUP(CONCATENATE($C$3,"-",C14),Languages!$A:$D,Summary!$C$7,TRUE),NA())</f>
        <v>Kyberriskien tunnistaminen</v>
      </c>
      <c r="E14" s="173"/>
      <c r="F14" s="296" t="str">
        <f>IFERROR(INT(LEFT($G14,1)),"")</f>
        <v/>
      </c>
      <c r="G14" s="296"/>
      <c r="H14" s="297"/>
      <c r="I14" s="297"/>
      <c r="J14" s="297"/>
      <c r="K14" s="297"/>
      <c r="L14" s="157"/>
      <c r="M14" s="169"/>
      <c r="N14" s="906"/>
      <c r="O14" s="1219"/>
      <c r="P14" s="1219"/>
      <c r="Q14" s="1219"/>
      <c r="R14" s="1219"/>
      <c r="S14" s="1219"/>
      <c r="T14" s="907"/>
      <c r="U14" s="169"/>
    </row>
    <row r="15" spans="1:21" ht="79.95" customHeight="1" x14ac:dyDescent="0.2">
      <c r="A15" s="138"/>
      <c r="B15" s="316"/>
      <c r="C15" s="1223" t="str">
        <f>IF(VLOOKUP(CONCATENATE($C$3,"-",$C14,"-0"),Languages!$A:$D,1,TRUE)=CONCATENATE($C$3,"-",$C14,"-0"),VLOOKUP(CONCATENATE($C$3,"-",$C14,"-0"),Languages!$A:$D,Summary!$C$7,TRUE),NA())</f>
        <v>Kyberriskien hallinta tarkoittaa toimia kyberriskien tunnistamiseksi, arvioimiseksi, seuraamiseksi ja hallitsemiseksi riskienhallintatoimenpitein. Riskienhallintatoimenpiteitä ovat esimerkiksi riskin hyväksyminen, välttäminen, pienentäminen tai siirtäminen. Kyberriskien hallintaa tulee toteuttaa osana organisaation yleistä riskienhallintaa huomioiden organisaation laajemmat tavoitteet ja liiketoiminnan tarpeet. Avainasemassa on koko organisaation kattava kyberriskienhallinnan strategia, joka huomioi edellä luetellut asiat. Riskien luokittelu auttaa organisaatiota käsittelemään ja seuraamaan riskejä johdonmukaisesti. Riskien luokittelua tukee riskirekisteri (joka on listaus organisaation tunnistamista riskeistä ja riskeihin liittyvistä tiedoista). Riskirekisteri on keskeinen osa laajempaa kyberturvallisuuden hallintaa ja siihen viitataankin useassa muussakin Kybermittarin osiossa [kts. esimerkiksi osiot SITUATION tai RESPONSE].</v>
      </c>
      <c r="D15" s="1223"/>
      <c r="E15" s="1223"/>
      <c r="F15" s="1223"/>
      <c r="G15" s="1223"/>
      <c r="H15" s="1223"/>
      <c r="I15" s="1223"/>
      <c r="J15" s="1223"/>
      <c r="K15" s="1223"/>
      <c r="L15" s="157"/>
      <c r="M15" s="138"/>
      <c r="N15" s="906"/>
      <c r="O15" s="1219"/>
      <c r="P15" s="1219"/>
      <c r="Q15" s="1219"/>
      <c r="R15" s="1219"/>
      <c r="S15" s="1219"/>
      <c r="T15" s="907"/>
      <c r="U15" s="138"/>
    </row>
    <row r="16" spans="1:21" s="180" customFormat="1" ht="30" customHeight="1" x14ac:dyDescent="0.3">
      <c r="A16" s="177"/>
      <c r="B16" s="273"/>
      <c r="C16" s="274">
        <v>3</v>
      </c>
      <c r="D16" s="274" t="str">
        <f>IF(VLOOKUP(CONCATENATE($C$3,"-",C16),Languages!$A:$D,1,TRUE)=CONCATENATE($C$3,"-",C16),VLOOKUP(CONCATENATE($C$3,"-",C16),Languages!$A:$D,Summary!$C$7,TRUE),NA())</f>
        <v>Riskien analysointi</v>
      </c>
      <c r="E16" s="173"/>
      <c r="F16" s="296" t="str">
        <f>IFERROR(INT(LEFT($G16,1)),"")</f>
        <v/>
      </c>
      <c r="G16" s="296"/>
      <c r="H16" s="297"/>
      <c r="I16" s="297"/>
      <c r="J16" s="297"/>
      <c r="K16" s="297"/>
      <c r="L16" s="157"/>
      <c r="M16" s="177"/>
      <c r="N16" s="906"/>
      <c r="O16" s="1219"/>
      <c r="P16" s="1219"/>
      <c r="Q16" s="1219"/>
      <c r="R16" s="1219"/>
      <c r="S16" s="1219"/>
      <c r="T16" s="907"/>
      <c r="U16" s="177"/>
    </row>
    <row r="17" spans="1:21" ht="49.95" customHeight="1" x14ac:dyDescent="0.2">
      <c r="A17" s="240"/>
      <c r="B17" s="317"/>
      <c r="C17" s="1223" t="str">
        <f>IF(VLOOKUP(CONCATENATE($C$3,"-",$C16,"-0"),Languages!$A:$D,1,TRUE)=CONCATENATE($C$3,"-",$C16,"-0"),VLOOKUP(CONCATENATE($C$3,"-",$C16,"-0"),Languages!$A:$D,Summary!$C$7,TRUE),NA())</f>
        <v>Tunnistetut riskit analysoidaan, jotta niiden vaikutus organisaation toimintaan voidaan arvioida, ne voidaan luokitella ja priorisoida, ja oikea strategia sekä riittävät toimenpiteet voidaan päättää (esimerkiksi: todennäköisyyden/vaikutuksen pienentäminen, riskin hyväksyminen, riskin välttäminen tai riskin jakaminen). Analysoinnin yksityiskohtaisuus voi vaihdella, riippuen riskin laadusta ja saatavilla olevan tiedon määrästä ja laadusta, mutta käytettävän menetelmän tulisi olla yhtenevä koko organisaatiossa.</v>
      </c>
      <c r="D17" s="1223"/>
      <c r="E17" s="1223"/>
      <c r="F17" s="1223"/>
      <c r="G17" s="1223"/>
      <c r="H17" s="1223"/>
      <c r="I17" s="1223"/>
      <c r="J17" s="1223"/>
      <c r="K17" s="1223"/>
      <c r="L17" s="157"/>
      <c r="M17" s="240"/>
      <c r="N17" s="906"/>
      <c r="O17" s="1219"/>
      <c r="P17" s="1219"/>
      <c r="Q17" s="1219"/>
      <c r="R17" s="1219"/>
      <c r="S17" s="1219"/>
      <c r="T17" s="907"/>
      <c r="U17" s="240"/>
    </row>
    <row r="18" spans="1:21" s="300" customFormat="1" ht="34.950000000000003" customHeight="1" x14ac:dyDescent="0.3">
      <c r="A18" s="309"/>
      <c r="B18" s="273"/>
      <c r="C18" s="274">
        <v>4</v>
      </c>
      <c r="D18" s="274" t="str">
        <f>IF(VLOOKUP(CONCATENATE($C$3,"-",C18),Languages!$A:$D,1,TRUE)=CONCATENATE($C$3,"-",C18),VLOOKUP(CONCATENATE($C$3,"-",C18),Languages!$A:$D,Summary!$C$7,TRUE),NA())</f>
        <v>Riskeihin reagointi</v>
      </c>
      <c r="E18" s="173"/>
      <c r="F18" s="296" t="str">
        <f>IFERROR(INT(LEFT($G18,1)),"")</f>
        <v/>
      </c>
      <c r="G18" s="296"/>
      <c r="H18" s="297"/>
      <c r="I18" s="297"/>
      <c r="J18" s="297"/>
      <c r="K18" s="297"/>
      <c r="L18" s="157"/>
      <c r="M18" s="309"/>
      <c r="N18" s="906"/>
      <c r="O18" s="1219"/>
      <c r="P18" s="1219"/>
      <c r="Q18" s="1219"/>
      <c r="R18" s="1219"/>
      <c r="S18" s="1219"/>
      <c r="T18" s="907"/>
      <c r="U18" s="309"/>
    </row>
    <row r="19" spans="1:21" s="300" customFormat="1" ht="45" customHeight="1" x14ac:dyDescent="0.2">
      <c r="A19" s="309"/>
      <c r="B19" s="317"/>
      <c r="C19" s="1223" t="str">
        <f>IF(VLOOKUP(CONCATENATE($C$3,"-",$C18,"-0"),Languages!$A:$D,1,TRUE)=CONCATENATE($C$3,"-",$C18,"-0"),VLOOKUP(CONCATENATE($C$3,"-",$C18,"-0"),Languages!$A:$D,Summary!$C$7,TRUE),NA())</f>
        <v>Analysoinnin perusteella päätetyt toimenpiteet pitää toteuttaa systemaattisesti ja priorisoinnin mukaisesti. Lopputuloksen tehokkuus ja riittävyys pitää arvioida, jotta nähdään onko jäännösriski hyväksyttävällä tasolla. Koska toimintaympäristö saattaa muuttua ajan kuluessa, tehdyt toimenpiteet pitää jatkossakin arvioida säännöllisesti, jotta varmistutaan että ne edelleen ovat riittävät ja tarkoituksenmukaiset.</v>
      </c>
      <c r="D19" s="1223"/>
      <c r="E19" s="1223"/>
      <c r="F19" s="1223"/>
      <c r="G19" s="1223"/>
      <c r="H19" s="1223"/>
      <c r="I19" s="1223"/>
      <c r="J19" s="1223"/>
      <c r="K19" s="1223"/>
      <c r="L19" s="157"/>
      <c r="M19" s="309"/>
      <c r="N19" s="906"/>
      <c r="O19" s="1219"/>
      <c r="P19" s="1219"/>
      <c r="Q19" s="1219"/>
      <c r="R19" s="1219"/>
      <c r="S19" s="1219"/>
      <c r="T19" s="907"/>
      <c r="U19" s="309"/>
    </row>
    <row r="20" spans="1:21" s="300" customFormat="1" ht="34.950000000000003" customHeight="1" x14ac:dyDescent="0.3">
      <c r="A20" s="309"/>
      <c r="B20" s="273"/>
      <c r="C20" s="274">
        <v>5</v>
      </c>
      <c r="D20" s="274" t="str">
        <f>IF(VLOOKUP(CONCATENATE($C$3,"-",C20),Languages!$A:$D,1,TRUE)=CONCATENATE($C$3,"-",C20),VLOOKUP(CONCATENATE($C$3,"-",C20),Languages!$A:$D,Summary!$C$7,TRUE),NA())</f>
        <v>Yleisiä hallintatoimia</v>
      </c>
      <c r="E20" s="173"/>
      <c r="F20" s="296" t="str">
        <f>IFERROR(INT(LEFT($G20,1)),"")</f>
        <v/>
      </c>
      <c r="G20" s="296"/>
      <c r="H20" s="297"/>
      <c r="I20" s="297"/>
      <c r="J20" s="297"/>
      <c r="K20" s="297"/>
      <c r="L20" s="157"/>
      <c r="M20" s="309"/>
      <c r="N20" s="906"/>
      <c r="O20" s="1219"/>
      <c r="P20" s="1219"/>
      <c r="Q20" s="1219"/>
      <c r="R20" s="1219"/>
      <c r="S20" s="1219"/>
      <c r="T20" s="907"/>
      <c r="U20" s="309"/>
    </row>
    <row r="21" spans="1:21" s="300" customFormat="1" ht="54" customHeight="1" x14ac:dyDescent="0.2">
      <c r="A21" s="309"/>
      <c r="B21" s="317"/>
      <c r="C21" s="1223" t="str">
        <f>IF(VLOOKUP(CONCATENATE($C$3,"-",$C20,"-0"),Languages!$A:$D,1,TRUE)=CONCATENATE($C$3,"-",$C20,"-0"),VLOOKUP(CONCATENATE($C$3,"-",$C20,"-0"),Languages!$A:$D,Summary!$C$7,TRUE),NA())</f>
        <v>Yleisillä hallintatoimilla arvioidaan sitä, kuinka syvällisesti osion kyberturvallisuuskäytännöt ovat juurtuneet osaksi organisaation toimintaa. Mitä syvemmin käytännöt ovat osa organisaation päivittäistä tekemistä sitä todennäköisempää on, että organisaatio noudattaa niitä myös kriisitilanteissa ja ajan kuluessa. Toisin sanoen, toiminta säilyy säännöllisenä, toistettavana ja korkealaatuisena.</v>
      </c>
      <c r="D21" s="1223"/>
      <c r="E21" s="1223"/>
      <c r="F21" s="1223"/>
      <c r="G21" s="1223"/>
      <c r="H21" s="1223"/>
      <c r="I21" s="1223"/>
      <c r="J21" s="1223"/>
      <c r="K21" s="1223"/>
      <c r="L21" s="157"/>
      <c r="M21" s="309"/>
      <c r="N21" s="908"/>
      <c r="O21" s="1220"/>
      <c r="P21" s="1220"/>
      <c r="Q21" s="1220"/>
      <c r="R21" s="1220"/>
      <c r="S21" s="1220"/>
      <c r="T21" s="909"/>
      <c r="U21" s="309"/>
    </row>
    <row r="22" spans="1:21" s="282" customFormat="1" ht="18" customHeight="1" x14ac:dyDescent="0.25">
      <c r="A22" s="309"/>
      <c r="B22" s="734"/>
      <c r="C22" s="734"/>
      <c r="D22" s="734"/>
      <c r="E22" s="734"/>
      <c r="F22" s="734"/>
      <c r="G22" s="734"/>
      <c r="H22" s="734"/>
      <c r="I22" s="734"/>
      <c r="J22" s="734"/>
      <c r="K22" s="734"/>
      <c r="L22" s="735"/>
      <c r="M22" s="138"/>
      <c r="N22" s="138"/>
      <c r="O22" s="255"/>
      <c r="P22" s="254"/>
      <c r="Q22" s="855"/>
      <c r="R22" s="254"/>
      <c r="S22" s="254"/>
      <c r="T22" s="138"/>
      <c r="U22" s="138"/>
    </row>
    <row r="23" spans="1:21" s="282" customFormat="1" ht="19.95" customHeight="1" x14ac:dyDescent="0.2">
      <c r="A23" s="309"/>
      <c r="B23" s="723"/>
      <c r="C23" s="721"/>
      <c r="D23" s="721"/>
      <c r="E23" s="721"/>
      <c r="F23" s="721"/>
      <c r="G23" s="721"/>
      <c r="H23" s="721"/>
      <c r="I23" s="721"/>
      <c r="J23" s="721"/>
      <c r="K23" s="721"/>
      <c r="L23" s="722"/>
      <c r="M23" s="256"/>
      <c r="N23" s="504" t="str">
        <f>IF(VLOOKUP("KM116",Languages!$A:$D,1,TRUE)="KM116",VLOOKUP("KM116",Languages!$A:$D,Summary!$C$7,TRUE),NA())</f>
        <v>EDELLINEN ARVIOINTI</v>
      </c>
      <c r="O23" s="442"/>
      <c r="P23" s="259"/>
      <c r="Q23" s="856" t="str">
        <f>IF(VLOOKUP("KM110",Languages!$A:$D,1,TRUE)="KM110",VLOOKUP("KM110",Languages!$A:$D,Summary!$C$7,TRUE),NA())</f>
        <v>Päivämäärä</v>
      </c>
      <c r="R23" s="259"/>
      <c r="S23" s="259"/>
      <c r="T23" s="150"/>
      <c r="U23" s="256"/>
    </row>
    <row r="24" spans="1:21" s="180" customFormat="1" ht="19.95" customHeight="1" x14ac:dyDescent="0.3">
      <c r="A24" s="169"/>
      <c r="B24" s="273"/>
      <c r="C24" s="173">
        <v>1</v>
      </c>
      <c r="D24" s="274" t="str">
        <f>IF(VLOOKUP(CONCATENATE($C$3,"-",C24),Languages!$A:$D,1,TRUE)=CONCATENATE($C$3,"-",C24),VLOOKUP(CONCATENATE($C$3,"-",C24),Languages!$A:$D,Summary!$C$7,TRUE),NA())</f>
        <v>Kyberriskienhallinnan suunnitelma</v>
      </c>
      <c r="E24" s="173"/>
      <c r="F24" s="275"/>
      <c r="G24" s="275"/>
      <c r="H24" s="275"/>
      <c r="I24" s="275"/>
      <c r="J24" s="275"/>
      <c r="K24" s="275"/>
      <c r="L24" s="157"/>
      <c r="M24" s="309"/>
      <c r="N24" s="310"/>
      <c r="O24" s="443"/>
      <c r="P24" s="438"/>
      <c r="Q24" s="781"/>
      <c r="R24" s="854"/>
      <c r="S24" s="854"/>
      <c r="T24" s="281"/>
      <c r="U24" s="309"/>
    </row>
    <row r="25" spans="1:21" s="289" customFormat="1" ht="19.95" customHeight="1" x14ac:dyDescent="0.2">
      <c r="A25" s="308"/>
      <c r="B25" s="283"/>
      <c r="C25" s="284" t="str">
        <f>IF(VLOOKUP("GEN-LEVEL",Languages!$A:$D,1,TRUE)="GEN-LEVEL",VLOOKUP("GEN-LEVEL",Languages!$A:$D,Summary!$C$7,TRUE),NA())</f>
        <v>Taso</v>
      </c>
      <c r="D25" s="284"/>
      <c r="E25" s="285" t="str">
        <f>IF(VLOOKUP("GEN-PRACTICE",Languages!$A:$D,1,TRUE)="GEN-PRACTICE",VLOOKUP("GEN-PRACTICE",Languages!$A:$D,Summary!$C$7,TRUE),NA())</f>
        <v>Käytäntö</v>
      </c>
      <c r="F25" s="286"/>
      <c r="G25" s="1003" t="str">
        <f>IF(VLOOKUP("GEN-ANSWER",Languages!$A:$D,1,TRUE)="GEN-ANSWER",VLOOKUP("GEN-ANSWER",Languages!$A:$D,Summary!$C$7,TRUE),NA())</f>
        <v>Vastaus</v>
      </c>
      <c r="H25" s="1004" t="str">
        <f>IF(VLOOKUP("KM112",Languages!$A:$D,1,TRUE)="KM112",VLOOKUP("KM112",Languages!$A:$D,Summary!$C$7,TRUE),NA())</f>
        <v>Kommentit</v>
      </c>
      <c r="I25" s="1004" t="str">
        <f>IF(VLOOKUP("KM113",Languages!$A:$D,1,TRUE)="KM113",VLOOKUP("KM113",Languages!$A:$D,Summary!$C$7,TRUE),NA())</f>
        <v>Sisäinen viittaus</v>
      </c>
      <c r="J25" s="1004" t="str">
        <f>IF(VLOOKUP("KM114",Languages!$A:$D,1,TRUE)="KM114",VLOOKUP("KM114",Languages!$A:$D,Summary!$C$7,TRUE),NA())</f>
        <v>Ulkoinen viittaus</v>
      </c>
      <c r="K25" s="1004" t="str">
        <f>IF(VLOOKUP("KM115",Languages!$A:$D,1,TRUE)="KM115",VLOOKUP("KM115",Languages!$A:$D,Summary!$C$7,TRUE),NA())</f>
        <v>Kehityskohde</v>
      </c>
      <c r="L25" s="287"/>
      <c r="M25" s="288"/>
      <c r="N25" s="283"/>
      <c r="O25" s="503" t="str">
        <f>IF(VLOOKUP("GEN-ANSWER",Languages!$A:$D,1,TRUE)="GEN-ANSWER",VLOOKUP("GEN-ANSWER",Languages!$A:$D,Summary!$C$7,TRUE),NA())</f>
        <v>Vastaus</v>
      </c>
      <c r="P25" s="503" t="str">
        <f>IF(VLOOKUP("KM112",Languages!$A:$D,1,TRUE)="KM112",VLOOKUP("KM112",Languages!$A:$D,Summary!$C$7,TRUE),NA())</f>
        <v>Kommentit</v>
      </c>
      <c r="Q25" s="503" t="str">
        <f>IF(VLOOKUP("KM113",Languages!$A:$D,1,TRUE)="KM113",VLOOKUP("KM113",Languages!$A:$D,Summary!$C$7,TRUE),NA())</f>
        <v>Sisäinen viittaus</v>
      </c>
      <c r="R25" s="503" t="str">
        <f>IF(VLOOKUP("KM114",Languages!$A:$D,1,TRUE)="KM114",VLOOKUP("KM114",Languages!$A:$D,Summary!$C$7,TRUE),NA())</f>
        <v>Ulkoinen viittaus</v>
      </c>
      <c r="S25" s="503" t="str">
        <f>IF(VLOOKUP("KM115",Languages!$A:$D,1,TRUE)="KM115",VLOOKUP("KM115",Languages!$A:$D,Summary!$C$7,TRUE),NA())</f>
        <v>Kehityskohde</v>
      </c>
      <c r="T25" s="287"/>
      <c r="U25" s="288"/>
    </row>
    <row r="26" spans="1:21" s="293" customFormat="1" ht="61.2" customHeight="1" x14ac:dyDescent="0.2">
      <c r="A26" s="279"/>
      <c r="B26" s="1204"/>
      <c r="C26" s="566">
        <v>1</v>
      </c>
      <c r="D26" s="400" t="s">
        <v>5</v>
      </c>
      <c r="E26" s="506" t="str">
        <f>IF(VLOOKUP(CONCATENATE($C$3,"-",$D26),Languages!$A:$D,1,TRUE)=CONCATENATE($C$3,"-",$D26),VLOOKUP(CONCATENATE($C$3,"-",$D26),Languages!$A:$D,Summary!$C$7,TRUE),NA())</f>
        <v>Organisaation kyberriskienhallintaa ohjaa suunnitelma (esimerkiksi strategia tai vastaava johtotason politiikka). Tasolla 1 sen kehittämisen ja ylläpidon ei tarvitse olla systemaattista ja säännöllistä.</v>
      </c>
      <c r="F26" s="401">
        <f t="shared" ref="F26:F31" si="0">IFERROR(INT(LEFT($G26,1)),0)</f>
        <v>0</v>
      </c>
      <c r="G26" s="496"/>
      <c r="H26" s="526"/>
      <c r="I26" s="526"/>
      <c r="J26" s="526"/>
      <c r="K26" s="527"/>
      <c r="L26" s="157"/>
      <c r="M26" s="279"/>
      <c r="N26" s="152"/>
      <c r="O26" s="985" t="str">
        <f>VLOOKUP(VLOOKUP($C$3&amp;"-"&amp;$D26,Import!$C:$D,2,FALSE),Parameters!$C$18:$F$22,Summary!$C$7,FALSE)</f>
        <v xml:space="preserve">0 - Vastaus puuttuu </v>
      </c>
      <c r="P26" s="1010" t="str">
        <f>IF(VLOOKUP($C$3&amp;"-"&amp;$D26,Import!$C:$H,3,FALSE)=0,"",VLOOKUP($C$3&amp;"-"&amp;$D26,Import!$C:$H,3,FALSE))</f>
        <v/>
      </c>
      <c r="Q26" s="1010" t="str">
        <f>IF(VLOOKUP($C$3&amp;"-"&amp;$D26,Import!$C:$H,4,FALSE)=0,"",VLOOKUP($C$3&amp;"-"&amp;$D26,Import!$C:$H,4,FALSE))</f>
        <v/>
      </c>
      <c r="R26" s="1010" t="str">
        <f>IF(VLOOKUP($C$3&amp;"-"&amp;$D26,Import!$C:$H,5,FALSE)=0,"",VLOOKUP($C$3&amp;"-"&amp;$D26,Import!$C:$H,5,FALSE))</f>
        <v/>
      </c>
      <c r="S26" s="1011" t="str">
        <f>IF(VLOOKUP($C$3&amp;"-"&amp;$D26,Import!$C:$H,6,FALSE)=0,"",VLOOKUP($C$3&amp;"-"&amp;$D26,Import!$C:$H,6,FALSE))</f>
        <v/>
      </c>
      <c r="T26" s="157"/>
      <c r="U26" s="279"/>
    </row>
    <row r="27" spans="1:21" s="293" customFormat="1" ht="72.599999999999994" customHeight="1" x14ac:dyDescent="0.2">
      <c r="A27" s="279"/>
      <c r="B27" s="1204"/>
      <c r="C27" s="1231">
        <v>2</v>
      </c>
      <c r="D27" s="397" t="s">
        <v>7</v>
      </c>
      <c r="E27" s="507" t="str">
        <f>IF(VLOOKUP(CONCATENATE($C$3,"-",$D27),Languages!$A:$D,1,TRUE)=CONCATENATE($C$3,"-",$D27),VLOOKUP(CONCATENATE($C$3,"-",$D27),Languages!$A:$D,Summary!$C$7,TRUE),NA())</f>
        <v>Organisaation kyberriskienhallintaa ohjaa järjestelmällinen suunnitelma, jota ylläpidetään säännöllisesti ja joka tukee organisaation laajempaa kyberturvallisuuden kehittämisen suunnitelmaa [kts. PROGRAM-1b) ja organisaation yritysarkkitehtuuria (myös "kokonaisarkkitehtuuri").</v>
      </c>
      <c r="F27" s="396">
        <f t="shared" si="0"/>
        <v>0</v>
      </c>
      <c r="G27" s="485"/>
      <c r="H27" s="486"/>
      <c r="I27" s="486"/>
      <c r="J27" s="486"/>
      <c r="K27" s="487"/>
      <c r="L27" s="157"/>
      <c r="M27" s="279"/>
      <c r="N27" s="152"/>
      <c r="O27" s="988" t="str">
        <f>VLOOKUP(VLOOKUP($C$3&amp;"-"&amp;$D27,Import!$C:$D,2,FALSE),Parameters!$C$18:$F$22,Summary!$C$7,FALSE)</f>
        <v xml:space="preserve">0 - Vastaus puuttuu </v>
      </c>
      <c r="P27" s="1032" t="str">
        <f>IF(VLOOKUP($C$3&amp;"-"&amp;$D27,Import!$C:$H,3,FALSE)=0,"",VLOOKUP($C$3&amp;"-"&amp;$D27,Import!$C:$H,3,FALSE))</f>
        <v/>
      </c>
      <c r="Q27" s="1032" t="str">
        <f>IF(VLOOKUP($C$3&amp;"-"&amp;$D27,Import!$C:$H,4,FALSE)=0,"",VLOOKUP($C$3&amp;"-"&amp;$D27,Import!$C:$H,4,FALSE))</f>
        <v/>
      </c>
      <c r="R27" s="1032" t="str">
        <f>IF(VLOOKUP($C$3&amp;"-"&amp;$D27,Import!$C:$H,5,FALSE)=0,"",VLOOKUP($C$3&amp;"-"&amp;$D27,Import!$C:$H,5,FALSE))</f>
        <v/>
      </c>
      <c r="S27" s="1033" t="str">
        <f>IF(VLOOKUP($C$3&amp;"-"&amp;$D27,Import!$C:$H,6,FALSE)=0,"",VLOOKUP($C$3&amp;"-"&amp;$D27,Import!$C:$H,6,FALSE))</f>
        <v/>
      </c>
      <c r="T27" s="157"/>
      <c r="U27" s="279"/>
    </row>
    <row r="28" spans="1:21" s="293" customFormat="1" ht="47.4" customHeight="1" x14ac:dyDescent="0.2">
      <c r="A28" s="279"/>
      <c r="B28" s="1204"/>
      <c r="C28" s="1232"/>
      <c r="D28" s="290" t="s">
        <v>8</v>
      </c>
      <c r="E28" s="508" t="str">
        <f>IF(VLOOKUP(CONCATENATE($C$3,"-",$D28),Languages!$A:$D,1,TRUE)=CONCATENATE($C$3,"-",$D28),VLOOKUP(CONCATENATE($C$3,"-",$D28),Languages!$A:$D,Summary!$C$7,TRUE),NA())</f>
        <v>Kyberriskienhallinnan toimenpiteistä jaetaan tietoa soveltuville sidosryhmille.</v>
      </c>
      <c r="F28" s="291">
        <f t="shared" si="0"/>
        <v>0</v>
      </c>
      <c r="G28" s="311"/>
      <c r="H28" s="480"/>
      <c r="I28" s="480"/>
      <c r="J28" s="480"/>
      <c r="K28" s="488"/>
      <c r="L28" s="157"/>
      <c r="M28" s="279"/>
      <c r="N28" s="152"/>
      <c r="O28" s="991" t="str">
        <f>VLOOKUP(VLOOKUP($C$3&amp;"-"&amp;$D28,Import!$C:$D,2,FALSE),Parameters!$C$18:$F$22,Summary!$C$7,FALSE)</f>
        <v xml:space="preserve">0 - Vastaus puuttuu </v>
      </c>
      <c r="P28" s="1015" t="str">
        <f>IF(VLOOKUP($C$3&amp;"-"&amp;$D28,Import!$C:$H,3,FALSE)=0,"",VLOOKUP($C$3&amp;"-"&amp;$D28,Import!$C:$H,3,FALSE))</f>
        <v/>
      </c>
      <c r="Q28" s="1015" t="str">
        <f>IF(VLOOKUP($C$3&amp;"-"&amp;$D28,Import!$C:$H,4,FALSE)=0,"",VLOOKUP($C$3&amp;"-"&amp;$D28,Import!$C:$H,4,FALSE))</f>
        <v/>
      </c>
      <c r="R28" s="1015" t="str">
        <f>IF(VLOOKUP($C$3&amp;"-"&amp;$D28,Import!$C:$H,5,FALSE)=0,"",VLOOKUP($C$3&amp;"-"&amp;$D28,Import!$C:$H,5,FALSE))</f>
        <v/>
      </c>
      <c r="S28" s="1016" t="str">
        <f>IF(VLOOKUP($C$3&amp;"-"&amp;$D28,Import!$C:$H,6,FALSE)=0,"",VLOOKUP($C$3&amp;"-"&amp;$D28,Import!$C:$H,6,FALSE))</f>
        <v/>
      </c>
      <c r="T28" s="157"/>
      <c r="U28" s="279"/>
    </row>
    <row r="29" spans="1:21" s="293" customFormat="1" ht="61.8" customHeight="1" x14ac:dyDescent="0.2">
      <c r="A29" s="279"/>
      <c r="B29" s="1204"/>
      <c r="C29" s="1233"/>
      <c r="D29" s="418" t="s">
        <v>9</v>
      </c>
      <c r="E29" s="512" t="str">
        <f>IF(VLOOKUP(CONCATENATE($C$3,"-",$D29),Languages!$A:$D,1,TRUE)=CONCATENATE($C$3,"-",$D29),VLOOKUP(CONCATENATE($C$3,"-",$D29),Languages!$A:$D,Summary!$C$7,TRUE),NA())</f>
        <v>Kyberriskienhallintaa varten on määritetty hallintamalli (ref. "governance"), jota ylläpidetään säännöllisesti. Hallintamalliin kuuluvat mm. riskienhallinnan vastuut, velvollisuudet ja päätöksentekorakenteet.</v>
      </c>
      <c r="F29" s="403">
        <f t="shared" si="0"/>
        <v>0</v>
      </c>
      <c r="G29" s="489"/>
      <c r="H29" s="481"/>
      <c r="I29" s="481"/>
      <c r="J29" s="481"/>
      <c r="K29" s="490"/>
      <c r="L29" s="157"/>
      <c r="M29" s="279"/>
      <c r="N29" s="152"/>
      <c r="O29" s="996" t="str">
        <f>VLOOKUP(VLOOKUP($C$3&amp;"-"&amp;$D29,Import!$C:$D,2,FALSE),Parameters!$C$18:$F$22,Summary!$C$7,FALSE)</f>
        <v xml:space="preserve">0 - Vastaus puuttuu </v>
      </c>
      <c r="P29" s="1034" t="str">
        <f>IF(VLOOKUP($C$3&amp;"-"&amp;$D29,Import!$C:$H,3,FALSE)=0,"",VLOOKUP($C$3&amp;"-"&amp;$D29,Import!$C:$H,3,FALSE))</f>
        <v/>
      </c>
      <c r="Q29" s="1034" t="str">
        <f>IF(VLOOKUP($C$3&amp;"-"&amp;$D29,Import!$C:$H,4,FALSE)=0,"",VLOOKUP($C$3&amp;"-"&amp;$D29,Import!$C:$H,4,FALSE))</f>
        <v/>
      </c>
      <c r="R29" s="1034" t="str">
        <f>IF(VLOOKUP($C$3&amp;"-"&amp;$D29,Import!$C:$H,5,FALSE)=0,"",VLOOKUP($C$3&amp;"-"&amp;$D29,Import!$C:$H,5,FALSE))</f>
        <v/>
      </c>
      <c r="S29" s="1035" t="str">
        <f>IF(VLOOKUP($C$3&amp;"-"&amp;$D29,Import!$C:$H,6,FALSE)=0,"",VLOOKUP($C$3&amp;"-"&amp;$D29,Import!$C:$H,6,FALSE))</f>
        <v/>
      </c>
      <c r="T29" s="157"/>
      <c r="U29" s="279"/>
    </row>
    <row r="30" spans="1:21" s="293" customFormat="1" ht="73.8" customHeight="1" x14ac:dyDescent="0.2">
      <c r="A30" s="279"/>
      <c r="B30" s="1204"/>
      <c r="C30" s="1234">
        <v>3</v>
      </c>
      <c r="D30" s="399" t="s">
        <v>10</v>
      </c>
      <c r="E30" s="511" t="str">
        <f>IF(VLOOKUP(CONCATENATE($C$3,"-",$D30),Languages!$A:$D,1,TRUE)=CONCATENATE($C$3,"-",$D30),VLOOKUP(CONCATENATE($C$3,"-",$D30),Languages!$A:$D,Summary!$C$7,TRUE),NA())</f>
        <v>Organisaation kyberriskienhallinnan toimenpiteitä toteuttamaan on määritetty kyberriskien hallintaprosessi, jota ylläpidetään säännöllisesti ja jonka avulla huolehditaan että suoritettavat toimenpiteet ovat linjassa organisaation yleisten tehtävien ja tavoitteiden kanssa.</v>
      </c>
      <c r="F30" s="396">
        <f t="shared" si="0"/>
        <v>0</v>
      </c>
      <c r="G30" s="485"/>
      <c r="H30" s="482"/>
      <c r="I30" s="482"/>
      <c r="J30" s="482"/>
      <c r="K30" s="491"/>
      <c r="L30" s="157"/>
      <c r="M30" s="279"/>
      <c r="N30" s="152"/>
      <c r="O30" s="988" t="str">
        <f>VLOOKUP(VLOOKUP($C$3&amp;"-"&amp;$D30,Import!$C:$D,2,FALSE),Parameters!$C$18:$F$22,Summary!$C$7,FALSE)</f>
        <v xml:space="preserve">0 - Vastaus puuttuu </v>
      </c>
      <c r="P30" s="1022" t="str">
        <f>IF(VLOOKUP($C$3&amp;"-"&amp;$D30,Import!$C:$H,3,FALSE)=0,"",VLOOKUP($C$3&amp;"-"&amp;$D30,Import!$C:$H,3,FALSE))</f>
        <v/>
      </c>
      <c r="Q30" s="1022" t="str">
        <f>IF(VLOOKUP($C$3&amp;"-"&amp;$D30,Import!$C:$H,4,FALSE)=0,"",VLOOKUP($C$3&amp;"-"&amp;$D30,Import!$C:$H,4,FALSE))</f>
        <v/>
      </c>
      <c r="R30" s="1022" t="str">
        <f>IF(VLOOKUP($C$3&amp;"-"&amp;$D30,Import!$C:$H,5,FALSE)=0,"",VLOOKUP($C$3&amp;"-"&amp;$D30,Import!$C:$H,5,FALSE))</f>
        <v/>
      </c>
      <c r="S30" s="1023" t="str">
        <f>IF(VLOOKUP($C$3&amp;"-"&amp;$D30,Import!$C:$H,6,FALSE)=0,"",VLOOKUP($C$3&amp;"-"&amp;$D30,Import!$C:$H,6,FALSE))</f>
        <v/>
      </c>
      <c r="T30" s="157"/>
      <c r="U30" s="279"/>
    </row>
    <row r="31" spans="1:21" s="293" customFormat="1" ht="46.8" customHeight="1" x14ac:dyDescent="0.2">
      <c r="A31" s="279"/>
      <c r="B31" s="1204"/>
      <c r="C31" s="1236"/>
      <c r="D31" s="402" t="s">
        <v>11</v>
      </c>
      <c r="E31" s="512" t="str">
        <f>IF(VLOOKUP(CONCATENATE($C$3,"-",$D31),Languages!$A:$D,1,TRUE)=CONCATENATE($C$3,"-",$D31),VLOOKUP(CONCATENATE($C$3,"-",$D31),Languages!$A:$D,Summary!$C$7,TRUE),NA())</f>
        <v>Kyberriskienhallintaprosessin ja -suunnitelman mukaisia toimenpiteitä ohjaa koko organisaation laajuinen riskienhallintaprosessi ja -suunnitelma.</v>
      </c>
      <c r="F31" s="403">
        <f t="shared" si="0"/>
        <v>0</v>
      </c>
      <c r="G31" s="489"/>
      <c r="H31" s="484"/>
      <c r="I31" s="484"/>
      <c r="J31" s="484"/>
      <c r="K31" s="493"/>
      <c r="L31" s="157"/>
      <c r="M31" s="279"/>
      <c r="N31" s="152"/>
      <c r="O31" s="996" t="str">
        <f>VLOOKUP(VLOOKUP($C$3&amp;"-"&amp;$D31,Import!$C:$D,2,FALSE),Parameters!$C$18:$F$22,Summary!$C$7,FALSE)</f>
        <v xml:space="preserve">0 - Vastaus puuttuu </v>
      </c>
      <c r="P31" s="1024" t="str">
        <f>IF(VLOOKUP($C$3&amp;"-"&amp;$D31,Import!$C:$H,3,FALSE)=0,"",VLOOKUP($C$3&amp;"-"&amp;$D31,Import!$C:$H,3,FALSE))</f>
        <v/>
      </c>
      <c r="Q31" s="1024" t="str">
        <f>IF(VLOOKUP($C$3&amp;"-"&amp;$D31,Import!$C:$H,4,FALSE)=0,"",VLOOKUP($C$3&amp;"-"&amp;$D31,Import!$C:$H,4,FALSE))</f>
        <v/>
      </c>
      <c r="R31" s="1024" t="str">
        <f>IF(VLOOKUP($C$3&amp;"-"&amp;$D31,Import!$C:$H,5,FALSE)=0,"",VLOOKUP($C$3&amp;"-"&amp;$D31,Import!$C:$H,5,FALSE))</f>
        <v/>
      </c>
      <c r="S31" s="1025" t="str">
        <f>IF(VLOOKUP($C$3&amp;"-"&amp;$D31,Import!$C:$H,6,FALSE)=0,"",VLOOKUP($C$3&amp;"-"&amp;$D31,Import!$C:$H,6,FALSE))</f>
        <v/>
      </c>
      <c r="T31" s="157"/>
      <c r="U31" s="279"/>
    </row>
    <row r="32" spans="1:21" s="180" customFormat="1" ht="30" customHeight="1" x14ac:dyDescent="0.3">
      <c r="A32" s="169"/>
      <c r="B32" s="273"/>
      <c r="C32" s="274">
        <v>2</v>
      </c>
      <c r="D32" s="274" t="str">
        <f>IF(VLOOKUP(CONCATENATE($C$3,"-",C32),Languages!$A:$D,1,TRUE)=CONCATENATE($C$3,"-",C32),VLOOKUP(CONCATENATE($C$3,"-",C32),Languages!$A:$D,Summary!$C$7,TRUE),NA())</f>
        <v>Kyberriskien tunnistaminen</v>
      </c>
      <c r="E32" s="173"/>
      <c r="F32" s="296" t="str">
        <f>IFERROR(INT(LEFT($G32,1)),"")</f>
        <v/>
      </c>
      <c r="G32" s="1006"/>
      <c r="H32" s="1030"/>
      <c r="I32" s="1030"/>
      <c r="J32" s="1030"/>
      <c r="K32" s="1030"/>
      <c r="L32" s="157"/>
      <c r="M32" s="169"/>
      <c r="N32" s="152"/>
      <c r="O32" s="296"/>
      <c r="P32" s="297"/>
      <c r="Q32" s="297"/>
      <c r="R32" s="297"/>
      <c r="S32" s="297"/>
      <c r="T32" s="157"/>
      <c r="U32" s="169"/>
    </row>
    <row r="33" spans="1:21" s="289" customFormat="1" ht="19.95" customHeight="1" x14ac:dyDescent="0.2">
      <c r="A33" s="308"/>
      <c r="B33" s="283"/>
      <c r="C33" s="284" t="str">
        <f>IF(VLOOKUP("GEN-LEVEL",Languages!$A:$D,1,TRUE)="GEN-LEVEL",VLOOKUP("GEN-LEVEL",Languages!$A:$D,Summary!$C$7,TRUE),NA())</f>
        <v>Taso</v>
      </c>
      <c r="D33" s="284"/>
      <c r="E33" s="285" t="str">
        <f>IF(VLOOKUP("GEN-PRACTICE",Languages!$A:$D,1,TRUE)="GEN-PRACTICE",VLOOKUP("GEN-PRACTICE",Languages!$A:$D,Summary!$C$7,TRUE),NA())</f>
        <v>Käytäntö</v>
      </c>
      <c r="F33" s="286"/>
      <c r="G33" s="1003" t="str">
        <f>IF(VLOOKUP("GEN-ANSWER",Languages!$A:$D,1,TRUE)="GEN-ANSWER",VLOOKUP("GEN-ANSWER",Languages!$A:$D,Summary!$C$7,TRUE),NA())</f>
        <v>Vastaus</v>
      </c>
      <c r="H33" s="1004" t="str">
        <f>IF(VLOOKUP("KM112",Languages!$A:$D,1,TRUE)="KM112",VLOOKUP("KM112",Languages!$A:$D,Summary!$C$7,TRUE),NA())</f>
        <v>Kommentit</v>
      </c>
      <c r="I33" s="1004" t="str">
        <f>IF(VLOOKUP("KM113",Languages!$A:$D,1,TRUE)="KM113",VLOOKUP("KM113",Languages!$A:$D,Summary!$C$7,TRUE),NA())</f>
        <v>Sisäinen viittaus</v>
      </c>
      <c r="J33" s="1004" t="str">
        <f>IF(VLOOKUP("KM114",Languages!$A:$D,1,TRUE)="KM114",VLOOKUP("KM114",Languages!$A:$D,Summary!$C$7,TRUE),NA())</f>
        <v>Ulkoinen viittaus</v>
      </c>
      <c r="K33" s="1004" t="str">
        <f>IF(VLOOKUP("KM115",Languages!$A:$D,1,TRUE)="KM115",VLOOKUP("KM115",Languages!$A:$D,Summary!$C$7,TRUE),NA())</f>
        <v>Kehityskohde</v>
      </c>
      <c r="L33" s="287"/>
      <c r="M33" s="288"/>
      <c r="N33" s="283"/>
      <c r="O33" s="503" t="str">
        <f>IF(VLOOKUP("GEN-ANSWER",Languages!$A:$D,1,TRUE)="GEN-ANSWER",VLOOKUP("GEN-ANSWER",Languages!$A:$D,Summary!$C$7,TRUE),NA())</f>
        <v>Vastaus</v>
      </c>
      <c r="P33" s="503" t="str">
        <f>IF(VLOOKUP("KM112",Languages!$A:$D,1,TRUE)="KM112",VLOOKUP("KM112",Languages!$A:$D,Summary!$C$7,TRUE),NA())</f>
        <v>Kommentit</v>
      </c>
      <c r="Q33" s="503" t="str">
        <f>IF(VLOOKUP("KM113",Languages!$A:$D,1,TRUE)="KM113",VLOOKUP("KM113",Languages!$A:$D,Summary!$C$7,TRUE),NA())</f>
        <v>Sisäinen viittaus</v>
      </c>
      <c r="R33" s="503" t="str">
        <f>IF(VLOOKUP("KM114",Languages!$A:$D,1,TRUE)="KM114",VLOOKUP("KM114",Languages!$A:$D,Summary!$C$7,TRUE),NA())</f>
        <v>Ulkoinen viittaus</v>
      </c>
      <c r="S33" s="503" t="str">
        <f>IF(VLOOKUP("KM115",Languages!$A:$D,1,TRUE)="KM115",VLOOKUP("KM115",Languages!$A:$D,Summary!$C$7,TRUE),NA())</f>
        <v>Kehityskohde</v>
      </c>
      <c r="T33" s="287"/>
      <c r="U33" s="288"/>
    </row>
    <row r="34" spans="1:21" s="300" customFormat="1" ht="34.950000000000003" customHeight="1" x14ac:dyDescent="0.2">
      <c r="A34" s="309"/>
      <c r="B34" s="1213"/>
      <c r="C34" s="567">
        <v>1</v>
      </c>
      <c r="D34" s="408" t="s">
        <v>17</v>
      </c>
      <c r="E34" s="513" t="str">
        <f>IF(VLOOKUP(CONCATENATE($C$3,"-",$D34),Languages!$A:$D,1,TRUE)=CONCATENATE($C$3,"-",$D34),VLOOKUP(CONCATENATE($C$3,"-",$D34),Languages!$A:$D,Summary!$C$7,TRUE),NA())</f>
        <v>Kyberriskejä tunnistetaan. Tasolla 1 tämän ei tarvitse olla systemaattista ja säännöllistä.</v>
      </c>
      <c r="F34" s="409">
        <f t="shared" ref="F34:F46" si="1">IFERROR(INT(LEFT($G34,1)),0)</f>
        <v>0</v>
      </c>
      <c r="G34" s="528"/>
      <c r="H34" s="529"/>
      <c r="I34" s="529"/>
      <c r="J34" s="529"/>
      <c r="K34" s="530"/>
      <c r="L34" s="157"/>
      <c r="M34" s="309"/>
      <c r="N34" s="152"/>
      <c r="O34" s="1037" t="str">
        <f>VLOOKUP(VLOOKUP($C$3&amp;"-"&amp;$D34,Import!$C:$D,2,FALSE),Parameters!$C$18:$F$22,Summary!$C$7,FALSE)</f>
        <v xml:space="preserve">0 - Vastaus puuttuu </v>
      </c>
      <c r="P34" s="1038" t="str">
        <f>IF(VLOOKUP($C$3&amp;"-"&amp;$D34,Import!$C:$H,3,FALSE)=0,"",VLOOKUP($C$3&amp;"-"&amp;$D34,Import!$C:$H,3,FALSE))</f>
        <v/>
      </c>
      <c r="Q34" s="1038" t="str">
        <f>IF(VLOOKUP($C$3&amp;"-"&amp;$D34,Import!$C:$H,4,FALSE)=0,"",VLOOKUP($C$3&amp;"-"&amp;$D34,Import!$C:$H,4,FALSE))</f>
        <v/>
      </c>
      <c r="R34" s="1038" t="str">
        <f>IF(VLOOKUP($C$3&amp;"-"&amp;$D34,Import!$C:$H,5,FALSE)=0,"",VLOOKUP($C$3&amp;"-"&amp;$D34,Import!$C:$H,5,FALSE))</f>
        <v/>
      </c>
      <c r="S34" s="1039" t="str">
        <f>IF(VLOOKUP($C$3&amp;"-"&amp;$D34,Import!$C:$H,6,FALSE)=0,"",VLOOKUP($C$3&amp;"-"&amp;$D34,Import!$C:$H,6,FALSE))</f>
        <v/>
      </c>
      <c r="T34" s="157"/>
      <c r="U34" s="309"/>
    </row>
    <row r="35" spans="1:21" s="300" customFormat="1" ht="65.400000000000006" customHeight="1" x14ac:dyDescent="0.2">
      <c r="A35" s="309"/>
      <c r="B35" s="1213"/>
      <c r="C35" s="1224">
        <v>2</v>
      </c>
      <c r="D35" s="406" t="s">
        <v>18</v>
      </c>
      <c r="E35" s="507" t="str">
        <f>IF(VLOOKUP(CONCATENATE($C$3,"-",$D35),Languages!$A:$D,1,TRUE)=CONCATENATE($C$3,"-",$D35),VLOOKUP(CONCATENATE($C$3,"-",$D35),Languages!$A:$D,Summary!$C$7,TRUE),NA())</f>
        <v>Tunnistetut kyberriskit jaetaan erillisiin kategorioihin, jotta riskejä voidaan hallita kategoriakohtaisesti (kategorioita voivat olla esimerkiksi tietovuodot, sisäiset virheet, ransomware tai OT-laitteiden kaappaus).</v>
      </c>
      <c r="F35" s="396">
        <f t="shared" si="1"/>
        <v>0</v>
      </c>
      <c r="G35" s="485"/>
      <c r="H35" s="482"/>
      <c r="I35" s="482"/>
      <c r="J35" s="482"/>
      <c r="K35" s="491"/>
      <c r="L35" s="157"/>
      <c r="M35" s="309"/>
      <c r="N35" s="152"/>
      <c r="O35" s="988" t="str">
        <f>VLOOKUP(VLOOKUP($C$3&amp;"-"&amp;$D35,Import!$C:$D,2,FALSE),Parameters!$C$18:$F$22,Summary!$C$7,FALSE)</f>
        <v xml:space="preserve">0 - Vastaus puuttuu </v>
      </c>
      <c r="P35" s="1022" t="str">
        <f>IF(VLOOKUP($C$3&amp;"-"&amp;$D35,Import!$C:$H,3,FALSE)=0,"",VLOOKUP($C$3&amp;"-"&amp;$D35,Import!$C:$H,3,FALSE))</f>
        <v/>
      </c>
      <c r="Q35" s="1022" t="str">
        <f>IF(VLOOKUP($C$3&amp;"-"&amp;$D35,Import!$C:$H,4,FALSE)=0,"",VLOOKUP($C$3&amp;"-"&amp;$D35,Import!$C:$H,4,FALSE))</f>
        <v/>
      </c>
      <c r="R35" s="1022" t="str">
        <f>IF(VLOOKUP($C$3&amp;"-"&amp;$D35,Import!$C:$H,5,FALSE)=0,"",VLOOKUP($C$3&amp;"-"&amp;$D35,Import!$C:$H,5,FALSE))</f>
        <v/>
      </c>
      <c r="S35" s="1023" t="str">
        <f>IF(VLOOKUP($C$3&amp;"-"&amp;$D35,Import!$C:$H,6,FALSE)=0,"",VLOOKUP($C$3&amp;"-"&amp;$D35,Import!$C:$H,6,FALSE))</f>
        <v/>
      </c>
      <c r="T35" s="157"/>
      <c r="U35" s="309"/>
    </row>
    <row r="36" spans="1:21" s="300" customFormat="1" ht="34.950000000000003" customHeight="1" x14ac:dyDescent="0.2">
      <c r="A36" s="309"/>
      <c r="B36" s="1213"/>
      <c r="C36" s="1237"/>
      <c r="D36" s="298" t="s">
        <v>19</v>
      </c>
      <c r="E36" s="508" t="str">
        <f>IF(VLOOKUP(CONCATENATE($C$3,"-",$D36),Languages!$A:$D,1,TRUE)=CONCATENATE($C$3,"-",$D36),VLOOKUP(CONCATENATE($C$3,"-",$D36),Languages!$A:$D,Summary!$C$7,TRUE),NA())</f>
        <v>Kyberriskien tunnistamisessa hyödynnetään useita eri tietolähteitä ja tunnistusmenetelmiä.</v>
      </c>
      <c r="F36" s="291">
        <f t="shared" si="1"/>
        <v>0</v>
      </c>
      <c r="G36" s="311"/>
      <c r="H36" s="483"/>
      <c r="I36" s="483"/>
      <c r="J36" s="483"/>
      <c r="K36" s="492"/>
      <c r="L36" s="157"/>
      <c r="M36" s="309"/>
      <c r="N36" s="152"/>
      <c r="O36" s="991" t="str">
        <f>VLOOKUP(VLOOKUP($C$3&amp;"-"&amp;$D36,Import!$C:$D,2,FALSE),Parameters!$C$18:$F$22,Summary!$C$7,FALSE)</f>
        <v xml:space="preserve">0 - Vastaus puuttuu </v>
      </c>
      <c r="P36" s="1017" t="str">
        <f>IF(VLOOKUP($C$3&amp;"-"&amp;$D36,Import!$C:$H,3,FALSE)=0,"",VLOOKUP($C$3&amp;"-"&amp;$D36,Import!$C:$H,3,FALSE))</f>
        <v/>
      </c>
      <c r="Q36" s="1017" t="str">
        <f>IF(VLOOKUP($C$3&amp;"-"&amp;$D36,Import!$C:$H,4,FALSE)=0,"",VLOOKUP($C$3&amp;"-"&amp;$D36,Import!$C:$H,4,FALSE))</f>
        <v/>
      </c>
      <c r="R36" s="1017" t="str">
        <f>IF(VLOOKUP($C$3&amp;"-"&amp;$D36,Import!$C:$H,5,FALSE)=0,"",VLOOKUP($C$3&amp;"-"&amp;$D36,Import!$C:$H,5,FALSE))</f>
        <v/>
      </c>
      <c r="S36" s="1018" t="str">
        <f>IF(VLOOKUP($C$3&amp;"-"&amp;$D36,Import!$C:$H,6,FALSE)=0,"",VLOOKUP($C$3&amp;"-"&amp;$D36,Import!$C:$H,6,FALSE))</f>
        <v/>
      </c>
      <c r="T36" s="157"/>
      <c r="U36" s="309"/>
    </row>
    <row r="37" spans="1:21" s="300" customFormat="1" ht="34.950000000000003" customHeight="1" x14ac:dyDescent="0.2">
      <c r="A37" s="309"/>
      <c r="B37" s="1213"/>
      <c r="C37" s="1237"/>
      <c r="D37" s="298" t="s">
        <v>20</v>
      </c>
      <c r="E37" s="508" t="str">
        <f>IF(VLOOKUP(CONCATENATE($C$3,"-",$D37),Languages!$A:$D,1,TRUE)=CONCATENATE($C$3,"-",$D37),VLOOKUP(CONCATENATE($C$3,"-",$D37),Languages!$A:$D,Summary!$C$7,TRUE),NA())</f>
        <v>Kyberriskien tunnistamiseen osallistuu edustajia soveltuvista operatiivisen toiminnan ja liiketoiminnan yksiköistä.</v>
      </c>
      <c r="F37" s="291">
        <f t="shared" si="1"/>
        <v>0</v>
      </c>
      <c r="G37" s="311"/>
      <c r="H37" s="483"/>
      <c r="I37" s="483"/>
      <c r="J37" s="483"/>
      <c r="K37" s="492"/>
      <c r="L37" s="157"/>
      <c r="M37" s="309"/>
      <c r="N37" s="152"/>
      <c r="O37" s="991" t="str">
        <f>VLOOKUP(VLOOKUP($C$3&amp;"-"&amp;$D37,Import!$C:$D,2,FALSE),Parameters!$C$18:$F$22,Summary!$C$7,FALSE)</f>
        <v xml:space="preserve">0 - Vastaus puuttuu </v>
      </c>
      <c r="P37" s="1017" t="str">
        <f>IF(VLOOKUP($C$3&amp;"-"&amp;$D37,Import!$C:$H,3,FALSE)=0,"",VLOOKUP($C$3&amp;"-"&amp;$D37,Import!$C:$H,3,FALSE))</f>
        <v/>
      </c>
      <c r="Q37" s="1017" t="str">
        <f>IF(VLOOKUP($C$3&amp;"-"&amp;$D37,Import!$C:$H,4,FALSE)=0,"",VLOOKUP($C$3&amp;"-"&amp;$D37,Import!$C:$H,4,FALSE))</f>
        <v/>
      </c>
      <c r="R37" s="1017" t="str">
        <f>IF(VLOOKUP($C$3&amp;"-"&amp;$D37,Import!$C:$H,5,FALSE)=0,"",VLOOKUP($C$3&amp;"-"&amp;$D37,Import!$C:$H,5,FALSE))</f>
        <v/>
      </c>
      <c r="S37" s="1018" t="str">
        <f>IF(VLOOKUP($C$3&amp;"-"&amp;$D37,Import!$C:$H,6,FALSE)=0,"",VLOOKUP($C$3&amp;"-"&amp;$D37,Import!$C:$H,6,FALSE))</f>
        <v/>
      </c>
      <c r="T37" s="157"/>
      <c r="U37" s="309"/>
    </row>
    <row r="38" spans="1:21" s="300" customFormat="1" ht="34.950000000000003" customHeight="1" x14ac:dyDescent="0.2">
      <c r="A38" s="309"/>
      <c r="B38" s="1213"/>
      <c r="C38" s="1237"/>
      <c r="D38" s="298" t="s">
        <v>21</v>
      </c>
      <c r="E38" s="508" t="str">
        <f>IF(VLOOKUP(CONCATENATE($C$3,"-",$D38),Languages!$A:$D,1,TRUE)=CONCATENATE($C$3,"-",$D38),VLOOKUP(CONCATENATE($C$3,"-",$D38),Languages!$A:$D,Summary!$C$7,TRUE),NA())</f>
        <v>Kyberriskit ja kyberriskikategoriat dokumentoidaan riskirekisteriin (tai vastaavaan tietovarastoon).</v>
      </c>
      <c r="F38" s="291">
        <f t="shared" si="1"/>
        <v>0</v>
      </c>
      <c r="G38" s="311"/>
      <c r="H38" s="483"/>
      <c r="I38" s="483"/>
      <c r="J38" s="483"/>
      <c r="K38" s="492"/>
      <c r="L38" s="157"/>
      <c r="M38" s="309"/>
      <c r="N38" s="152"/>
      <c r="O38" s="991" t="str">
        <f>VLOOKUP(VLOOKUP($C$3&amp;"-"&amp;$D38,Import!$C:$D,2,FALSE),Parameters!$C$18:$F$22,Summary!$C$7,FALSE)</f>
        <v xml:space="preserve">0 - Vastaus puuttuu </v>
      </c>
      <c r="P38" s="1017" t="str">
        <f>IF(VLOOKUP($C$3&amp;"-"&amp;$D38,Import!$C:$H,3,FALSE)=0,"",VLOOKUP($C$3&amp;"-"&amp;$D38,Import!$C:$H,3,FALSE))</f>
        <v/>
      </c>
      <c r="Q38" s="1017" t="str">
        <f>IF(VLOOKUP($C$3&amp;"-"&amp;$D38,Import!$C:$H,4,FALSE)=0,"",VLOOKUP($C$3&amp;"-"&amp;$D38,Import!$C:$H,4,FALSE))</f>
        <v/>
      </c>
      <c r="R38" s="1017" t="str">
        <f>IF(VLOOKUP($C$3&amp;"-"&amp;$D38,Import!$C:$H,5,FALSE)=0,"",VLOOKUP($C$3&amp;"-"&amp;$D38,Import!$C:$H,5,FALSE))</f>
        <v/>
      </c>
      <c r="S38" s="1018" t="str">
        <f>IF(VLOOKUP($C$3&amp;"-"&amp;$D38,Import!$C:$H,6,FALSE)=0,"",VLOOKUP($C$3&amp;"-"&amp;$D38,Import!$C:$H,6,FALSE))</f>
        <v/>
      </c>
      <c r="T38" s="157"/>
      <c r="U38" s="309"/>
    </row>
    <row r="39" spans="1:21" s="300" customFormat="1" ht="34.950000000000003" customHeight="1" x14ac:dyDescent="0.2">
      <c r="A39" s="309"/>
      <c r="B39" s="390"/>
      <c r="C39" s="1237"/>
      <c r="D39" s="298" t="s">
        <v>109</v>
      </c>
      <c r="E39" s="508" t="str">
        <f>IF(VLOOKUP(CONCATENATE($C$3,"-",$D39),Languages!$A:$D,1,TRUE)=CONCATENATE($C$3,"-",$D39),VLOOKUP(CONCATENATE($C$3,"-",$D39),Languages!$A:$D,Summary!$C$7,TRUE),NA())</f>
        <v>Kyberriskeille ja kyberriskikategorioille on nimitetty omistajat.</v>
      </c>
      <c r="F39" s="291">
        <f t="shared" si="1"/>
        <v>0</v>
      </c>
      <c r="G39" s="311"/>
      <c r="H39" s="483"/>
      <c r="I39" s="483"/>
      <c r="J39" s="483"/>
      <c r="K39" s="492"/>
      <c r="L39" s="157"/>
      <c r="M39" s="309"/>
      <c r="N39" s="152"/>
      <c r="O39" s="991" t="str">
        <f>VLOOKUP(VLOOKUP($C$3&amp;"-"&amp;$D39,Import!$C:$D,2,FALSE),Parameters!$C$18:$F$22,Summary!$C$7,FALSE)</f>
        <v xml:space="preserve">0 - Vastaus puuttuu </v>
      </c>
      <c r="P39" s="1017" t="str">
        <f>IF(VLOOKUP($C$3&amp;"-"&amp;$D39,Import!$C:$H,3,FALSE)=0,"",VLOOKUP($C$3&amp;"-"&amp;$D39,Import!$C:$H,3,FALSE))</f>
        <v/>
      </c>
      <c r="Q39" s="1017" t="str">
        <f>IF(VLOOKUP($C$3&amp;"-"&amp;$D39,Import!$C:$H,4,FALSE)=0,"",VLOOKUP($C$3&amp;"-"&amp;$D39,Import!$C:$H,4,FALSE))</f>
        <v/>
      </c>
      <c r="R39" s="1017" t="str">
        <f>IF(VLOOKUP($C$3&amp;"-"&amp;$D39,Import!$C:$H,5,FALSE)=0,"",VLOOKUP($C$3&amp;"-"&amp;$D39,Import!$C:$H,5,FALSE))</f>
        <v/>
      </c>
      <c r="S39" s="1018" t="str">
        <f>IF(VLOOKUP($C$3&amp;"-"&amp;$D39,Import!$C:$H,6,FALSE)=0,"",VLOOKUP($C$3&amp;"-"&amp;$D39,Import!$C:$H,6,FALSE))</f>
        <v/>
      </c>
      <c r="T39" s="157"/>
      <c r="U39" s="309"/>
    </row>
    <row r="40" spans="1:21" s="300" customFormat="1" ht="45" customHeight="1" x14ac:dyDescent="0.2">
      <c r="A40" s="309"/>
      <c r="B40" s="390"/>
      <c r="C40" s="1225"/>
      <c r="D40" s="407" t="s">
        <v>173</v>
      </c>
      <c r="E40" s="514" t="str">
        <f>IF(VLOOKUP(CONCATENATE($C$3,"-",$D40),Languages!$A:$D,1,TRUE)=CONCATENATE($C$3,"-",$D40),VLOOKUP(CONCATENATE($C$3,"-",$D40),Languages!$A:$D,Summary!$C$7,TRUE),NA())</f>
        <v>Kyberriskien tunnistamista tehdään aika ajoin ja määriteltyjen tilanteiden, kuten järjestelmämuutosten tai ulkoisten kybertapahtumien yhteydessä.</v>
      </c>
      <c r="F40" s="403">
        <f t="shared" si="1"/>
        <v>0</v>
      </c>
      <c r="G40" s="489"/>
      <c r="H40" s="484"/>
      <c r="I40" s="484"/>
      <c r="J40" s="484"/>
      <c r="K40" s="493"/>
      <c r="L40" s="157"/>
      <c r="M40" s="309"/>
      <c r="N40" s="152"/>
      <c r="O40" s="996" t="str">
        <f>VLOOKUP(VLOOKUP($C$3&amp;"-"&amp;$D40,Import!$C:$D,2,FALSE),Parameters!$C$18:$F$22,Summary!$C$7,FALSE)</f>
        <v xml:space="preserve">0 - Vastaus puuttuu </v>
      </c>
      <c r="P40" s="1024" t="str">
        <f>IF(VLOOKUP($C$3&amp;"-"&amp;$D40,Import!$C:$H,3,FALSE)=0,"",VLOOKUP($C$3&amp;"-"&amp;$D40,Import!$C:$H,3,FALSE))</f>
        <v/>
      </c>
      <c r="Q40" s="1024" t="str">
        <f>IF(VLOOKUP($C$3&amp;"-"&amp;$D40,Import!$C:$H,4,FALSE)=0,"",VLOOKUP($C$3&amp;"-"&amp;$D40,Import!$C:$H,4,FALSE))</f>
        <v/>
      </c>
      <c r="R40" s="1024" t="str">
        <f>IF(VLOOKUP($C$3&amp;"-"&amp;$D40,Import!$C:$H,5,FALSE)=0,"",VLOOKUP($C$3&amp;"-"&amp;$D40,Import!$C:$H,5,FALSE))</f>
        <v/>
      </c>
      <c r="S40" s="1025" t="str">
        <f>IF(VLOOKUP($C$3&amp;"-"&amp;$D40,Import!$C:$H,6,FALSE)=0,"",VLOOKUP($C$3&amp;"-"&amp;$D40,Import!$C:$H,6,FALSE))</f>
        <v/>
      </c>
      <c r="T40" s="157"/>
      <c r="U40" s="309"/>
    </row>
    <row r="41" spans="1:21" s="300" customFormat="1" ht="47.4" customHeight="1" x14ac:dyDescent="0.2">
      <c r="A41" s="309"/>
      <c r="B41" s="390"/>
      <c r="C41" s="1226">
        <v>3</v>
      </c>
      <c r="D41" s="406" t="s">
        <v>175</v>
      </c>
      <c r="E41" s="507" t="str">
        <f>IF(VLOOKUP(CONCATENATE($C$3,"-",$D41),Languages!$A:$D,1,TRUE)=CONCATENATE($C$3,"-",$D41),VLOOKUP(CONCATENATE($C$3,"-",$D41),Languages!$A:$D,Summary!$C$7,TRUE),NA())</f>
        <v>Kyberriskien tunnistamisessa hyödynnetään ASSET-osion laitteiden, ohjelmistojen ja tietovarantojen rekisterejä sekä priorisointitietoja.</v>
      </c>
      <c r="F41" s="396">
        <f t="shared" si="1"/>
        <v>0</v>
      </c>
      <c r="G41" s="485"/>
      <c r="H41" s="482"/>
      <c r="I41" s="482"/>
      <c r="J41" s="482"/>
      <c r="K41" s="491"/>
      <c r="L41" s="157"/>
      <c r="M41" s="309"/>
      <c r="N41" s="152"/>
      <c r="O41" s="988" t="str">
        <f>VLOOKUP(VLOOKUP($C$3&amp;"-"&amp;$D41,Import!$C:$D,2,FALSE),Parameters!$C$18:$F$22,Summary!$C$7,FALSE)</f>
        <v xml:space="preserve">0 - Vastaus puuttuu </v>
      </c>
      <c r="P41" s="1022" t="str">
        <f>IF(VLOOKUP($C$3&amp;"-"&amp;$D41,Import!$C:$H,3,FALSE)=0,"",VLOOKUP($C$3&amp;"-"&amp;$D41,Import!$C:$H,3,FALSE))</f>
        <v/>
      </c>
      <c r="Q41" s="1022" t="str">
        <f>IF(VLOOKUP($C$3&amp;"-"&amp;$D41,Import!$C:$H,4,FALSE)=0,"",VLOOKUP($C$3&amp;"-"&amp;$D41,Import!$C:$H,4,FALSE))</f>
        <v/>
      </c>
      <c r="R41" s="1022" t="str">
        <f>IF(VLOOKUP($C$3&amp;"-"&amp;$D41,Import!$C:$H,5,FALSE)=0,"",VLOOKUP($C$3&amp;"-"&amp;$D41,Import!$C:$H,5,FALSE))</f>
        <v/>
      </c>
      <c r="S41" s="1023" t="str">
        <f>IF(VLOOKUP($C$3&amp;"-"&amp;$D41,Import!$C:$H,6,FALSE)=0,"",VLOOKUP($C$3&amp;"-"&amp;$D41,Import!$C:$H,6,FALSE))</f>
        <v/>
      </c>
      <c r="T41" s="157"/>
      <c r="U41" s="309"/>
    </row>
    <row r="42" spans="1:21" s="300" customFormat="1" ht="78" customHeight="1" x14ac:dyDescent="0.2">
      <c r="A42" s="309"/>
      <c r="B42" s="390"/>
      <c r="C42" s="1228"/>
      <c r="D42" s="298" t="s">
        <v>206</v>
      </c>
      <c r="E42" s="508" t="str">
        <f>IF(VLOOKUP(CONCATENATE($C$3,"-",$D42),Languages!$A:$D,1,TRUE)=CONCATENATE($C$3,"-",$D42),VLOOKUP(CONCATENATE($C$3,"-",$D42),Languages!$A:$D,Summary!$C$7,TRUE),NA())</f>
        <v>Haavoittuvuustietoa uhkien hallinnan osiosta [kts. THREAT] käytetään uusien kyberriskien tunnistamiseen ja olemassa olevien kyberriskien päivittämiseen (esimerkiksi tunnistamaan riskejä, jotka johtuvat havaituista ja/tai paikkaamattomista haavoittuvuuksista).</v>
      </c>
      <c r="F42" s="291">
        <f t="shared" si="1"/>
        <v>0</v>
      </c>
      <c r="G42" s="311"/>
      <c r="H42" s="483"/>
      <c r="I42" s="483"/>
      <c r="J42" s="483"/>
      <c r="K42" s="492"/>
      <c r="L42" s="157"/>
      <c r="M42" s="309"/>
      <c r="N42" s="152"/>
      <c r="O42" s="991" t="str">
        <f>VLOOKUP(VLOOKUP($C$3&amp;"-"&amp;$D42,Import!$C:$D,2,FALSE),Parameters!$C$18:$F$22,Summary!$C$7,FALSE)</f>
        <v xml:space="preserve">0 - Vastaus puuttuu </v>
      </c>
      <c r="P42" s="1017" t="str">
        <f>IF(VLOOKUP($C$3&amp;"-"&amp;$D42,Import!$C:$H,3,FALSE)=0,"",VLOOKUP($C$3&amp;"-"&amp;$D42,Import!$C:$H,3,FALSE))</f>
        <v/>
      </c>
      <c r="Q42" s="1017" t="str">
        <f>IF(VLOOKUP($C$3&amp;"-"&amp;$D42,Import!$C:$H,4,FALSE)=0,"",VLOOKUP($C$3&amp;"-"&amp;$D42,Import!$C:$H,4,FALSE))</f>
        <v/>
      </c>
      <c r="R42" s="1017" t="str">
        <f>IF(VLOOKUP($C$3&amp;"-"&amp;$D42,Import!$C:$H,5,FALSE)=0,"",VLOOKUP($C$3&amp;"-"&amp;$D42,Import!$C:$H,5,FALSE))</f>
        <v/>
      </c>
      <c r="S42" s="1018" t="str">
        <f>IF(VLOOKUP($C$3&amp;"-"&amp;$D42,Import!$C:$H,6,FALSE)=0,"",VLOOKUP($C$3&amp;"-"&amp;$D42,Import!$C:$H,6,FALSE))</f>
        <v/>
      </c>
      <c r="T42" s="157"/>
      <c r="U42" s="309"/>
    </row>
    <row r="43" spans="1:21" s="300" customFormat="1" ht="45" customHeight="1" x14ac:dyDescent="0.2">
      <c r="A43" s="309"/>
      <c r="B43" s="390"/>
      <c r="C43" s="1228"/>
      <c r="D43" s="298" t="s">
        <v>208</v>
      </c>
      <c r="E43" s="508" t="str">
        <f>IF(VLOOKUP(CONCATENATE($C$3,"-",$D43),Languages!$A:$D,1,TRUE)=CONCATENATE($C$3,"-",$D43),VLOOKUP(CONCATENATE($C$3,"-",$D43),Languages!$A:$D,Summary!$C$7,TRUE),NA())</f>
        <v>Uhkatietoa uhkien hallinnan osiosta [kts. THREAT] käytetään uusien kyberriskien tunnistamiseen ja olemassa olevien kyberriskien päivittämiseen.</v>
      </c>
      <c r="F43" s="291">
        <f t="shared" si="1"/>
        <v>0</v>
      </c>
      <c r="G43" s="311"/>
      <c r="H43" s="483"/>
      <c r="I43" s="483"/>
      <c r="J43" s="483"/>
      <c r="K43" s="492"/>
      <c r="L43" s="157"/>
      <c r="M43" s="309"/>
      <c r="N43" s="152"/>
      <c r="O43" s="991" t="str">
        <f>VLOOKUP(VLOOKUP($C$3&amp;"-"&amp;$D43,Import!$C:$D,2,FALSE),Parameters!$C$18:$F$22,Summary!$C$7,FALSE)</f>
        <v xml:space="preserve">0 - Vastaus puuttuu </v>
      </c>
      <c r="P43" s="1017" t="str">
        <f>IF(VLOOKUP($C$3&amp;"-"&amp;$D43,Import!$C:$H,3,FALSE)=0,"",VLOOKUP($C$3&amp;"-"&amp;$D43,Import!$C:$H,3,FALSE))</f>
        <v/>
      </c>
      <c r="Q43" s="1017" t="str">
        <f>IF(VLOOKUP($C$3&amp;"-"&amp;$D43,Import!$C:$H,4,FALSE)=0,"",VLOOKUP($C$3&amp;"-"&amp;$D43,Import!$C:$H,4,FALSE))</f>
        <v/>
      </c>
      <c r="R43" s="1017" t="str">
        <f>IF(VLOOKUP($C$3&amp;"-"&amp;$D43,Import!$C:$H,5,FALSE)=0,"",VLOOKUP($C$3&amp;"-"&amp;$D43,Import!$C:$H,5,FALSE))</f>
        <v/>
      </c>
      <c r="S43" s="1018" t="str">
        <f>IF(VLOOKUP($C$3&amp;"-"&amp;$D43,Import!$C:$H,6,FALSE)=0,"",VLOOKUP($C$3&amp;"-"&amp;$D43,Import!$C:$H,6,FALSE))</f>
        <v/>
      </c>
      <c r="T43" s="157"/>
      <c r="U43" s="309"/>
    </row>
    <row r="44" spans="1:21" s="300" customFormat="1" ht="45" customHeight="1" x14ac:dyDescent="0.2">
      <c r="A44" s="309"/>
      <c r="B44" s="390"/>
      <c r="C44" s="1228"/>
      <c r="D44" s="298" t="s">
        <v>210</v>
      </c>
      <c r="E44" s="508" t="str">
        <f>IF(VLOOKUP(CONCATENATE($C$3,"-",$D44),Languages!$A:$D,1,TRUE)=CONCATENATE($C$3,"-",$D44),VLOOKUP(CONCATENATE($C$3,"-",$D44),Languages!$A:$D,Summary!$C$7,TRUE),NA())</f>
        <v>Kumppaniverkoston riskienhallinnan osion toimenpiteistä [kts. THIRDPARTY] saatua tietoa käytetään uusien kyberriskien tunnistamiseen ja olemassa olevien kyberriskien päivittämiseen.</v>
      </c>
      <c r="F44" s="291">
        <f t="shared" si="1"/>
        <v>0</v>
      </c>
      <c r="G44" s="311"/>
      <c r="H44" s="483"/>
      <c r="I44" s="483"/>
      <c r="J44" s="483"/>
      <c r="K44" s="492"/>
      <c r="L44" s="157"/>
      <c r="M44" s="309"/>
      <c r="N44" s="152"/>
      <c r="O44" s="991" t="str">
        <f>VLOOKUP(VLOOKUP($C$3&amp;"-"&amp;$D44,Import!$C:$D,2,FALSE),Parameters!$C$18:$F$22,Summary!$C$7,FALSE)</f>
        <v xml:space="preserve">0 - Vastaus puuttuu </v>
      </c>
      <c r="P44" s="1017" t="str">
        <f>IF(VLOOKUP($C$3&amp;"-"&amp;$D44,Import!$C:$H,3,FALSE)=0,"",VLOOKUP($C$3&amp;"-"&amp;$D44,Import!$C:$H,3,FALSE))</f>
        <v/>
      </c>
      <c r="Q44" s="1017" t="str">
        <f>IF(VLOOKUP($C$3&amp;"-"&amp;$D44,Import!$C:$H,4,FALSE)=0,"",VLOOKUP($C$3&amp;"-"&amp;$D44,Import!$C:$H,4,FALSE))</f>
        <v/>
      </c>
      <c r="R44" s="1017" t="str">
        <f>IF(VLOOKUP($C$3&amp;"-"&amp;$D44,Import!$C:$H,5,FALSE)=0,"",VLOOKUP($C$3&amp;"-"&amp;$D44,Import!$C:$H,5,FALSE))</f>
        <v/>
      </c>
      <c r="S44" s="1018" t="str">
        <f>IF(VLOOKUP($C$3&amp;"-"&amp;$D44,Import!$C:$H,6,FALSE)=0,"",VLOOKUP($C$3&amp;"-"&amp;$D44,Import!$C:$H,6,FALSE))</f>
        <v/>
      </c>
      <c r="T44" s="157"/>
      <c r="U44" s="309"/>
    </row>
    <row r="45" spans="1:21" s="300" customFormat="1" ht="60" customHeight="1" x14ac:dyDescent="0.2">
      <c r="A45" s="309"/>
      <c r="B45" s="390"/>
      <c r="C45" s="1228"/>
      <c r="D45" s="298" t="s">
        <v>212</v>
      </c>
      <c r="E45" s="508" t="str">
        <f>IF(VLOOKUP(CONCATENATE($C$3,"-",$D45),Languages!$A:$D,1,TRUE)=CONCATENATE($C$3,"-",$D45),VLOOKUP(CONCATENATE($C$3,"-",$D45),Languages!$A:$D,Summary!$C$7,TRUE),NA())</f>
        <v>Poikkeamia organisaation tavoitellun kyberarkkitehtuurin ja toteutettujen järjestelmien ja verkkojen välillä käytetään hyväksi uusien kyberriskien tunnistamiseen ja olemassa olevien kyberriskien päivittämiseen [kts. ARCHITECTURE-1h].</v>
      </c>
      <c r="F45" s="291">
        <f t="shared" si="1"/>
        <v>0</v>
      </c>
      <c r="G45" s="311"/>
      <c r="H45" s="483"/>
      <c r="I45" s="483"/>
      <c r="J45" s="483"/>
      <c r="K45" s="492"/>
      <c r="L45" s="157"/>
      <c r="M45" s="309"/>
      <c r="N45" s="152"/>
      <c r="O45" s="991" t="str">
        <f>VLOOKUP(VLOOKUP($C$3&amp;"-"&amp;$D45,Import!$C:$D,2,FALSE),Parameters!$C$18:$F$22,Summary!$C$7,FALSE)</f>
        <v xml:space="preserve">0 - Vastaus puuttuu </v>
      </c>
      <c r="P45" s="1017" t="str">
        <f>IF(VLOOKUP($C$3&amp;"-"&amp;$D45,Import!$C:$H,3,FALSE)=0,"",VLOOKUP($C$3&amp;"-"&amp;$D45,Import!$C:$H,3,FALSE))</f>
        <v/>
      </c>
      <c r="Q45" s="1017" t="str">
        <f>IF(VLOOKUP($C$3&amp;"-"&amp;$D45,Import!$C:$H,4,FALSE)=0,"",VLOOKUP($C$3&amp;"-"&amp;$D45,Import!$C:$H,4,FALSE))</f>
        <v/>
      </c>
      <c r="R45" s="1017" t="str">
        <f>IF(VLOOKUP($C$3&amp;"-"&amp;$D45,Import!$C:$H,5,FALSE)=0,"",VLOOKUP($C$3&amp;"-"&amp;$D45,Import!$C:$H,5,FALSE))</f>
        <v/>
      </c>
      <c r="S45" s="1018" t="str">
        <f>IF(VLOOKUP($C$3&amp;"-"&amp;$D45,Import!$C:$H,6,FALSE)=0,"",VLOOKUP($C$3&amp;"-"&amp;$D45,Import!$C:$H,6,FALSE))</f>
        <v/>
      </c>
      <c r="T45" s="157"/>
      <c r="U45" s="309"/>
    </row>
    <row r="46" spans="1:21" s="300" customFormat="1" ht="45" customHeight="1" x14ac:dyDescent="0.2">
      <c r="A46" s="309"/>
      <c r="B46" s="390"/>
      <c r="C46" s="1227"/>
      <c r="D46" s="407" t="s">
        <v>214</v>
      </c>
      <c r="E46" s="514" t="str">
        <f>IF(VLOOKUP(CONCATENATE($C$3,"-",$D46),Languages!$A:$D,1,TRUE)=CONCATENATE($C$3,"-",$D46),VLOOKUP(CONCATENATE($C$3,"-",$D46),Languages!$A:$D,Summary!$C$7,TRUE),NA())</f>
        <v>Kyberriskien tunnistamisessa huomioidaan riskit, jotka kohdistuvat kriittiseen infrastruktuuriin tai keskinäisriippuvaisiin organisaatioihin.</v>
      </c>
      <c r="F46" s="403">
        <f t="shared" si="1"/>
        <v>0</v>
      </c>
      <c r="G46" s="489"/>
      <c r="H46" s="484"/>
      <c r="I46" s="484"/>
      <c r="J46" s="484"/>
      <c r="K46" s="493"/>
      <c r="L46" s="157"/>
      <c r="M46" s="309"/>
      <c r="N46" s="152"/>
      <c r="O46" s="996" t="str">
        <f>VLOOKUP(VLOOKUP($C$3&amp;"-"&amp;$D46,Import!$C:$D,2,FALSE),Parameters!$C$18:$F$22,Summary!$C$7,FALSE)</f>
        <v xml:space="preserve">0 - Vastaus puuttuu </v>
      </c>
      <c r="P46" s="1024" t="str">
        <f>IF(VLOOKUP($C$3&amp;"-"&amp;$D46,Import!$C:$H,3,FALSE)=0,"",VLOOKUP($C$3&amp;"-"&amp;$D46,Import!$C:$H,3,FALSE))</f>
        <v/>
      </c>
      <c r="Q46" s="1024" t="str">
        <f>IF(VLOOKUP($C$3&amp;"-"&amp;$D46,Import!$C:$H,4,FALSE)=0,"",VLOOKUP($C$3&amp;"-"&amp;$D46,Import!$C:$H,4,FALSE))</f>
        <v/>
      </c>
      <c r="R46" s="1024" t="str">
        <f>IF(VLOOKUP($C$3&amp;"-"&amp;$D46,Import!$C:$H,5,FALSE)=0,"",VLOOKUP($C$3&amp;"-"&amp;$D46,Import!$C:$H,5,FALSE))</f>
        <v/>
      </c>
      <c r="S46" s="1025" t="str">
        <f>IF(VLOOKUP($C$3&amp;"-"&amp;$D46,Import!$C:$H,6,FALSE)=0,"",VLOOKUP($C$3&amp;"-"&amp;$D46,Import!$C:$H,6,FALSE))</f>
        <v/>
      </c>
      <c r="T46" s="157"/>
      <c r="U46" s="309"/>
    </row>
    <row r="47" spans="1:21" s="180" customFormat="1" ht="30" customHeight="1" x14ac:dyDescent="0.3">
      <c r="A47" s="177"/>
      <c r="B47" s="273"/>
      <c r="C47" s="274">
        <v>3</v>
      </c>
      <c r="D47" s="274" t="str">
        <f>IF(VLOOKUP(CONCATENATE($C$3,"-",C47),Languages!$A:$D,1,TRUE)=CONCATENATE($C$3,"-",C47),VLOOKUP(CONCATENATE($C$3,"-",C47),Languages!$A:$D,Summary!$C$7,TRUE),NA())</f>
        <v>Riskien analysointi</v>
      </c>
      <c r="E47" s="173"/>
      <c r="F47" s="296" t="str">
        <f>IFERROR(INT(LEFT($G47,1)),"")</f>
        <v/>
      </c>
      <c r="G47" s="1006"/>
      <c r="H47" s="1030"/>
      <c r="I47" s="1030"/>
      <c r="J47" s="1030"/>
      <c r="K47" s="1030"/>
      <c r="L47" s="157"/>
      <c r="M47" s="177"/>
      <c r="N47" s="152"/>
      <c r="O47" s="296"/>
      <c r="P47" s="297"/>
      <c r="Q47" s="297"/>
      <c r="R47" s="297"/>
      <c r="S47" s="297"/>
      <c r="T47" s="157"/>
      <c r="U47" s="177"/>
    </row>
    <row r="48" spans="1:21" s="289" customFormat="1" ht="19.95" customHeight="1" x14ac:dyDescent="0.2">
      <c r="A48" s="308"/>
      <c r="B48" s="283"/>
      <c r="C48" s="284" t="str">
        <f>IF(VLOOKUP("GEN-LEVEL",Languages!$A:$D,1,TRUE)="GEN-LEVEL",VLOOKUP("GEN-LEVEL",Languages!$A:$D,Summary!$C$7,TRUE),NA())</f>
        <v>Taso</v>
      </c>
      <c r="D48" s="284"/>
      <c r="E48" s="285" t="str">
        <f>IF(VLOOKUP("GEN-PRACTICE",Languages!$A:$D,1,TRUE)="GEN-PRACTICE",VLOOKUP("GEN-PRACTICE",Languages!$A:$D,Summary!$C$7,TRUE),NA())</f>
        <v>Käytäntö</v>
      </c>
      <c r="F48" s="286"/>
      <c r="G48" s="1003" t="str">
        <f>IF(VLOOKUP("GEN-ANSWER",Languages!$A:$D,1,TRUE)="GEN-ANSWER",VLOOKUP("GEN-ANSWER",Languages!$A:$D,Summary!$C$7,TRUE),NA())</f>
        <v>Vastaus</v>
      </c>
      <c r="H48" s="1004" t="str">
        <f>IF(VLOOKUP("KM112",Languages!$A:$D,1,TRUE)="KM112",VLOOKUP("KM112",Languages!$A:$D,Summary!$C$7,TRUE),NA())</f>
        <v>Kommentit</v>
      </c>
      <c r="I48" s="1004" t="str">
        <f>IF(VLOOKUP("KM113",Languages!$A:$D,1,TRUE)="KM113",VLOOKUP("KM113",Languages!$A:$D,Summary!$C$7,TRUE),NA())</f>
        <v>Sisäinen viittaus</v>
      </c>
      <c r="J48" s="1004" t="str">
        <f>IF(VLOOKUP("KM114",Languages!$A:$D,1,TRUE)="KM114",VLOOKUP("KM114",Languages!$A:$D,Summary!$C$7,TRUE),NA())</f>
        <v>Ulkoinen viittaus</v>
      </c>
      <c r="K48" s="1004" t="str">
        <f>IF(VLOOKUP("KM115",Languages!$A:$D,1,TRUE)="KM115",VLOOKUP("KM115",Languages!$A:$D,Summary!$C$7,TRUE),NA())</f>
        <v>Kehityskohde</v>
      </c>
      <c r="L48" s="287"/>
      <c r="M48" s="288"/>
      <c r="N48" s="283"/>
      <c r="O48" s="503" t="str">
        <f>IF(VLOOKUP("GEN-ANSWER",Languages!$A:$D,1,TRUE)="GEN-ANSWER",VLOOKUP("GEN-ANSWER",Languages!$A:$D,Summary!$C$7,TRUE),NA())</f>
        <v>Vastaus</v>
      </c>
      <c r="P48" s="503" t="str">
        <f>IF(VLOOKUP("KM112",Languages!$A:$D,1,TRUE)="KM112",VLOOKUP("KM112",Languages!$A:$D,Summary!$C$7,TRUE),NA())</f>
        <v>Kommentit</v>
      </c>
      <c r="Q48" s="503" t="str">
        <f>IF(VLOOKUP("KM113",Languages!$A:$D,1,TRUE)="KM113",VLOOKUP("KM113",Languages!$A:$D,Summary!$C$7,TRUE),NA())</f>
        <v>Sisäinen viittaus</v>
      </c>
      <c r="R48" s="503" t="str">
        <f>IF(VLOOKUP("KM114",Languages!$A:$D,1,TRUE)="KM114",VLOOKUP("KM114",Languages!$A:$D,Summary!$C$7,TRUE),NA())</f>
        <v>Ulkoinen viittaus</v>
      </c>
      <c r="S48" s="503" t="str">
        <f>IF(VLOOKUP("KM115",Languages!$A:$D,1,TRUE)="KM115",VLOOKUP("KM115",Languages!$A:$D,Summary!$C$7,TRUE),NA())</f>
        <v>Kehityskohde</v>
      </c>
      <c r="T48" s="287"/>
      <c r="U48" s="288"/>
    </row>
    <row r="49" spans="1:21" s="300" customFormat="1" ht="34.950000000000003" customHeight="1" x14ac:dyDescent="0.2">
      <c r="A49" s="309"/>
      <c r="B49" s="1213"/>
      <c r="C49" s="568">
        <v>1</v>
      </c>
      <c r="D49" s="410" t="s">
        <v>22</v>
      </c>
      <c r="E49" s="506" t="str">
        <f>IF(VLOOKUP(CONCATENATE($C$3,"-",$D49),Languages!$A:$D,1,TRUE)=CONCATENATE($C$3,"-",$D49),VLOOKUP(CONCATENATE($C$3,"-",$D49),Languages!$A:$D,Summary!$C$7,TRUE),NA())</f>
        <v>Kyberriskit priorisoidaan niiden arvioidun vaikutuksen perusteella. Tasolla 1 tämän ei tarvitse olla systemaattista ja säännöllistä.</v>
      </c>
      <c r="F49" s="401">
        <f t="shared" ref="F49:F55" si="2">IFERROR(INT(LEFT($G49,1)),0)</f>
        <v>0</v>
      </c>
      <c r="G49" s="496"/>
      <c r="H49" s="494"/>
      <c r="I49" s="494"/>
      <c r="J49" s="494"/>
      <c r="K49" s="495"/>
      <c r="L49" s="157"/>
      <c r="M49" s="309"/>
      <c r="N49" s="152"/>
      <c r="O49" s="985" t="str">
        <f>VLOOKUP(VLOOKUP($C$3&amp;"-"&amp;$D49,Import!$C:$D,2,FALSE),Parameters!$C$18:$F$22,Summary!$C$7,FALSE)</f>
        <v xml:space="preserve">0 - Vastaus puuttuu </v>
      </c>
      <c r="P49" s="1026" t="str">
        <f>IF(VLOOKUP($C$3&amp;"-"&amp;$D49,Import!$C:$H,3,FALSE)=0,"",VLOOKUP($C$3&amp;"-"&amp;$D49,Import!$C:$H,3,FALSE))</f>
        <v/>
      </c>
      <c r="Q49" s="1026" t="str">
        <f>IF(VLOOKUP($C$3&amp;"-"&amp;$D49,Import!$C:$H,4,FALSE)=0,"",VLOOKUP($C$3&amp;"-"&amp;$D49,Import!$C:$H,4,FALSE))</f>
        <v/>
      </c>
      <c r="R49" s="1026" t="str">
        <f>IF(VLOOKUP($C$3&amp;"-"&amp;$D49,Import!$C:$H,5,FALSE)=0,"",VLOOKUP($C$3&amp;"-"&amp;$D49,Import!$C:$H,5,FALSE))</f>
        <v/>
      </c>
      <c r="S49" s="1027" t="str">
        <f>IF(VLOOKUP($C$3&amp;"-"&amp;$D49,Import!$C:$H,6,FALSE)=0,"",VLOOKUP($C$3&amp;"-"&amp;$D49,Import!$C:$H,6,FALSE))</f>
        <v/>
      </c>
      <c r="T49" s="157"/>
      <c r="U49" s="309"/>
    </row>
    <row r="50" spans="1:21" s="300" customFormat="1" ht="45" customHeight="1" x14ac:dyDescent="0.2">
      <c r="A50" s="309"/>
      <c r="B50" s="1213"/>
      <c r="C50" s="1224">
        <v>2</v>
      </c>
      <c r="D50" s="406" t="s">
        <v>23</v>
      </c>
      <c r="E50" s="507" t="str">
        <f>IF(VLOOKUP(CONCATENATE($C$3,"-",$D50),Languages!$A:$D,1,TRUE)=CONCATENATE($C$3,"-",$D50),VLOOKUP(CONCATENATE($C$3,"-",$D50),Languages!$A:$D,Summary!$C$7,TRUE),NA())</f>
        <v>Määriteltyjä kriteerejä käytetään kyberriskien ja kyberriskikategorioiden priorisoinnissa (esimerkiksi vaikutus, todennäköisyys, alttius, riskinsietokyky).</v>
      </c>
      <c r="F50" s="396">
        <f t="shared" si="2"/>
        <v>0</v>
      </c>
      <c r="G50" s="485"/>
      <c r="H50" s="482"/>
      <c r="I50" s="482"/>
      <c r="J50" s="482"/>
      <c r="K50" s="491"/>
      <c r="L50" s="157"/>
      <c r="M50" s="309"/>
      <c r="N50" s="152"/>
      <c r="O50" s="988" t="str">
        <f>VLOOKUP(VLOOKUP($C$3&amp;"-"&amp;$D50,Import!$C:$D,2,FALSE),Parameters!$C$18:$F$22,Summary!$C$7,FALSE)</f>
        <v xml:space="preserve">0 - Vastaus puuttuu </v>
      </c>
      <c r="P50" s="1022" t="str">
        <f>IF(VLOOKUP($C$3&amp;"-"&amp;$D50,Import!$C:$H,3,FALSE)=0,"",VLOOKUP($C$3&amp;"-"&amp;$D50,Import!$C:$H,3,FALSE))</f>
        <v/>
      </c>
      <c r="Q50" s="1022" t="str">
        <f>IF(VLOOKUP($C$3&amp;"-"&amp;$D50,Import!$C:$H,4,FALSE)=0,"",VLOOKUP($C$3&amp;"-"&amp;$D50,Import!$C:$H,4,FALSE))</f>
        <v/>
      </c>
      <c r="R50" s="1022" t="str">
        <f>IF(VLOOKUP($C$3&amp;"-"&amp;$D50,Import!$C:$H,5,FALSE)=0,"",VLOOKUP($C$3&amp;"-"&amp;$D50,Import!$C:$H,5,FALSE))</f>
        <v/>
      </c>
      <c r="S50" s="1023" t="str">
        <f>IF(VLOOKUP($C$3&amp;"-"&amp;$D50,Import!$C:$H,6,FALSE)=0,"",VLOOKUP($C$3&amp;"-"&amp;$D50,Import!$C:$H,6,FALSE))</f>
        <v/>
      </c>
      <c r="T50" s="157"/>
      <c r="U50" s="309"/>
    </row>
    <row r="51" spans="1:21" s="300" customFormat="1" ht="64.2" customHeight="1" x14ac:dyDescent="0.2">
      <c r="A51" s="309"/>
      <c r="B51" s="1213"/>
      <c r="C51" s="1237"/>
      <c r="D51" s="298" t="s">
        <v>24</v>
      </c>
      <c r="E51" s="508" t="str">
        <f>IF(VLOOKUP(CONCATENATE($C$3,"-",$D51),Languages!$A:$D,1,TRUE)=CONCATENATE($C$3,"-",$D51),VLOOKUP(CONCATENATE($C$3,"-",$D51),Languages!$A:$D,Summary!$C$7,TRUE),NA())</f>
        <v>Korkean prioriteetin kyberriskien ja kyberriskikategorioiden vaikutus arvioidaan noudattaen määriteltyjä menetelmiä (esimerkiksi vertaamalla toteutuneisiin tapauksiin tai kvantifioimalla riski).</v>
      </c>
      <c r="F51" s="291">
        <f t="shared" si="2"/>
        <v>0</v>
      </c>
      <c r="G51" s="311"/>
      <c r="H51" s="483"/>
      <c r="I51" s="483"/>
      <c r="J51" s="483"/>
      <c r="K51" s="492"/>
      <c r="L51" s="157"/>
      <c r="M51" s="309"/>
      <c r="N51" s="152"/>
      <c r="O51" s="991" t="str">
        <f>VLOOKUP(VLOOKUP($C$3&amp;"-"&amp;$D51,Import!$C:$D,2,FALSE),Parameters!$C$18:$F$22,Summary!$C$7,FALSE)</f>
        <v xml:space="preserve">0 - Vastaus puuttuu </v>
      </c>
      <c r="P51" s="1017" t="str">
        <f>IF(VLOOKUP($C$3&amp;"-"&amp;$D51,Import!$C:$H,3,FALSE)=0,"",VLOOKUP($C$3&amp;"-"&amp;$D51,Import!$C:$H,3,FALSE))</f>
        <v/>
      </c>
      <c r="Q51" s="1017" t="str">
        <f>IF(VLOOKUP($C$3&amp;"-"&amp;$D51,Import!$C:$H,4,FALSE)=0,"",VLOOKUP($C$3&amp;"-"&amp;$D51,Import!$C:$H,4,FALSE))</f>
        <v/>
      </c>
      <c r="R51" s="1017" t="str">
        <f>IF(VLOOKUP($C$3&amp;"-"&amp;$D51,Import!$C:$H,5,FALSE)=0,"",VLOOKUP($C$3&amp;"-"&amp;$D51,Import!$C:$H,5,FALSE))</f>
        <v/>
      </c>
      <c r="S51" s="1018" t="str">
        <f>IF(VLOOKUP($C$3&amp;"-"&amp;$D51,Import!$C:$H,6,FALSE)=0,"",VLOOKUP($C$3&amp;"-"&amp;$D51,Import!$C:$H,6,FALSE))</f>
        <v/>
      </c>
      <c r="T51" s="157"/>
      <c r="U51" s="309"/>
    </row>
    <row r="52" spans="1:21" s="300" customFormat="1" ht="80.400000000000006" customHeight="1" x14ac:dyDescent="0.2">
      <c r="A52" s="309"/>
      <c r="B52" s="1213"/>
      <c r="C52" s="1237"/>
      <c r="D52" s="298" t="s">
        <v>25</v>
      </c>
      <c r="E52" s="508" t="str">
        <f>IF(VLOOKUP(CONCATENATE($C$3,"-",$D52),Languages!$A:$D,1,TRUE)=CONCATENATE($C$3,"-",$D52),VLOOKUP(CONCATENATE($C$3,"-",$D52),Languages!$A:$D,Summary!$C$7,TRUE),NA())</f>
        <v>Korkeamman prioriteetin kyberriskit ja kyberriskikategoriat analysoidaan noudattaen määriteltyjä menetelmiä (esimerkiksi analysoimalla toteutuneiden tapausten yleisyyttä riskin todennäköisyyden arvioimiseksi tai hyödyntämällä suojausmekanismien arvioinneista saatuja tuloksia kohteen riskialttiuden määrittelyyn).</v>
      </c>
      <c r="F52" s="291">
        <f t="shared" si="2"/>
        <v>0</v>
      </c>
      <c r="G52" s="311"/>
      <c r="H52" s="483"/>
      <c r="I52" s="483"/>
      <c r="J52" s="483"/>
      <c r="K52" s="492"/>
      <c r="L52" s="157"/>
      <c r="M52" s="309"/>
      <c r="N52" s="152"/>
      <c r="O52" s="991" t="str">
        <f>VLOOKUP(VLOOKUP($C$3&amp;"-"&amp;$D52,Import!$C:$D,2,FALSE),Parameters!$C$18:$F$22,Summary!$C$7,FALSE)</f>
        <v xml:space="preserve">0 - Vastaus puuttuu </v>
      </c>
      <c r="P52" s="1017" t="str">
        <f>IF(VLOOKUP($C$3&amp;"-"&amp;$D52,Import!$C:$H,3,FALSE)=0,"",VLOOKUP($C$3&amp;"-"&amp;$D52,Import!$C:$H,3,FALSE))</f>
        <v/>
      </c>
      <c r="Q52" s="1017" t="str">
        <f>IF(VLOOKUP($C$3&amp;"-"&amp;$D52,Import!$C:$H,4,FALSE)=0,"",VLOOKUP($C$3&amp;"-"&amp;$D52,Import!$C:$H,4,FALSE))</f>
        <v/>
      </c>
      <c r="R52" s="1017" t="str">
        <f>IF(VLOOKUP($C$3&amp;"-"&amp;$D52,Import!$C:$H,5,FALSE)=0,"",VLOOKUP($C$3&amp;"-"&amp;$D52,Import!$C:$H,5,FALSE))</f>
        <v/>
      </c>
      <c r="S52" s="1018" t="str">
        <f>IF(VLOOKUP($C$3&amp;"-"&amp;$D52,Import!$C:$H,6,FALSE)=0,"",VLOOKUP($C$3&amp;"-"&amp;$D52,Import!$C:$H,6,FALSE))</f>
        <v/>
      </c>
      <c r="T52" s="157"/>
      <c r="U52" s="309"/>
    </row>
    <row r="53" spans="1:21" s="300" customFormat="1" ht="52.8" customHeight="1" x14ac:dyDescent="0.2">
      <c r="A53" s="309"/>
      <c r="B53" s="1213"/>
      <c r="C53" s="1237"/>
      <c r="D53" s="298" t="s">
        <v>26</v>
      </c>
      <c r="E53" s="508" t="str">
        <f>IF(VLOOKUP(CONCATENATE($C$3,"-",$D53),Languages!$A:$D,1,TRUE)=CONCATENATE($C$3,"-",$D53),VLOOKUP(CONCATENATE($C$3,"-",$D53),Languages!$A:$D,Summary!$C$7,TRUE),NA())</f>
        <v>Organisaation sidosryhmät soveltuvista operatiivisen toiminnan ja liiketoiminnan yksiköistä osallistuvat korkeamman prioriteetin kyberriskien analysointiin.</v>
      </c>
      <c r="F53" s="291">
        <f t="shared" si="2"/>
        <v>0</v>
      </c>
      <c r="G53" s="311"/>
      <c r="H53" s="483"/>
      <c r="I53" s="483"/>
      <c r="J53" s="483"/>
      <c r="K53" s="492"/>
      <c r="L53" s="157"/>
      <c r="M53" s="309"/>
      <c r="N53" s="152"/>
      <c r="O53" s="991" t="str">
        <f>VLOOKUP(VLOOKUP($C$3&amp;"-"&amp;$D53,Import!$C:$D,2,FALSE),Parameters!$C$18:$F$22,Summary!$C$7,FALSE)</f>
        <v xml:space="preserve">0 - Vastaus puuttuu </v>
      </c>
      <c r="P53" s="1017" t="str">
        <f>IF(VLOOKUP($C$3&amp;"-"&amp;$D53,Import!$C:$H,3,FALSE)=0,"",VLOOKUP($C$3&amp;"-"&amp;$D53,Import!$C:$H,3,FALSE))</f>
        <v/>
      </c>
      <c r="Q53" s="1017" t="str">
        <f>IF(VLOOKUP($C$3&amp;"-"&amp;$D53,Import!$C:$H,4,FALSE)=0,"",VLOOKUP($C$3&amp;"-"&amp;$D53,Import!$C:$H,4,FALSE))</f>
        <v/>
      </c>
      <c r="R53" s="1017" t="str">
        <f>IF(VLOOKUP($C$3&amp;"-"&amp;$D53,Import!$C:$H,5,FALSE)=0,"",VLOOKUP($C$3&amp;"-"&amp;$D53,Import!$C:$H,5,FALSE))</f>
        <v/>
      </c>
      <c r="S53" s="1018" t="str">
        <f>IF(VLOOKUP($C$3&amp;"-"&amp;$D53,Import!$C:$H,6,FALSE)=0,"",VLOOKUP($C$3&amp;"-"&amp;$D53,Import!$C:$H,6,FALSE))</f>
        <v/>
      </c>
      <c r="T53" s="157"/>
      <c r="U53" s="309"/>
    </row>
    <row r="54" spans="1:21" s="300" customFormat="1" ht="49.8" customHeight="1" x14ac:dyDescent="0.2">
      <c r="A54" s="309"/>
      <c r="B54" s="1213"/>
      <c r="C54" s="1225"/>
      <c r="D54" s="407" t="s">
        <v>27</v>
      </c>
      <c r="E54" s="514" t="str">
        <f>IF(VLOOKUP(CONCATENATE($C$3,"-",$D54),Languages!$A:$D,1,TRUE)=CONCATENATE($C$3,"-",$D54),VLOOKUP(CONCATENATE($C$3,"-",$D54),Languages!$A:$D,Summary!$C$7,TRUE),NA())</f>
        <v>Kyberriskikategorioiden tai kyberriskien aktiivinen seuranta päätetään vasta sen jälkeen, kun ne eivät enää vaadi seuraamista tai toimenpiteitä.</v>
      </c>
      <c r="F54" s="403">
        <f t="shared" si="2"/>
        <v>0</v>
      </c>
      <c r="G54" s="489"/>
      <c r="H54" s="484"/>
      <c r="I54" s="484"/>
      <c r="J54" s="484"/>
      <c r="K54" s="493"/>
      <c r="L54" s="157"/>
      <c r="M54" s="309"/>
      <c r="N54" s="152"/>
      <c r="O54" s="996" t="str">
        <f>VLOOKUP(VLOOKUP($C$3&amp;"-"&amp;$D54,Import!$C:$D,2,FALSE),Parameters!$C$18:$F$22,Summary!$C$7,FALSE)</f>
        <v xml:space="preserve">0 - Vastaus puuttuu </v>
      </c>
      <c r="P54" s="1024" t="str">
        <f>IF(VLOOKUP($C$3&amp;"-"&amp;$D54,Import!$C:$H,3,FALSE)=0,"",VLOOKUP($C$3&amp;"-"&amp;$D54,Import!$C:$H,3,FALSE))</f>
        <v/>
      </c>
      <c r="Q54" s="1024" t="str">
        <f>IF(VLOOKUP($C$3&amp;"-"&amp;$D54,Import!$C:$H,4,FALSE)=0,"",VLOOKUP($C$3&amp;"-"&amp;$D54,Import!$C:$H,4,FALSE))</f>
        <v/>
      </c>
      <c r="R54" s="1024" t="str">
        <f>IF(VLOOKUP($C$3&amp;"-"&amp;$D54,Import!$C:$H,5,FALSE)=0,"",VLOOKUP($C$3&amp;"-"&amp;$D54,Import!$C:$H,5,FALSE))</f>
        <v/>
      </c>
      <c r="S54" s="1025" t="str">
        <f>IF(VLOOKUP($C$3&amp;"-"&amp;$D54,Import!$C:$H,6,FALSE)=0,"",VLOOKUP($C$3&amp;"-"&amp;$D54,Import!$C:$H,6,FALSE))</f>
        <v/>
      </c>
      <c r="T54" s="157"/>
      <c r="U54" s="309"/>
    </row>
    <row r="55" spans="1:21" s="300" customFormat="1" ht="47.4" customHeight="1" x14ac:dyDescent="0.2">
      <c r="A55" s="309"/>
      <c r="B55" s="1213"/>
      <c r="C55" s="571">
        <v>3</v>
      </c>
      <c r="D55" s="410" t="s">
        <v>28</v>
      </c>
      <c r="E55" s="506" t="str">
        <f>IF(VLOOKUP(CONCATENATE($C$3,"-",$D55),Languages!$A:$D,1,TRUE)=CONCATENATE($C$3,"-",$D55),VLOOKUP(CONCATENATE($C$3,"-",$D55),Languages!$A:$D,Summary!$C$7,TRUE),NA())</f>
        <v>Kyberriskianalyysit päivitetään aika ajoin ja määriteltyjen tilanteiden kuten järjestelmämuutosten tai ulkoisten tapahtumien yhteydessä.</v>
      </c>
      <c r="F55" s="401">
        <f t="shared" si="2"/>
        <v>0</v>
      </c>
      <c r="G55" s="496"/>
      <c r="H55" s="494"/>
      <c r="I55" s="494"/>
      <c r="J55" s="494"/>
      <c r="K55" s="495"/>
      <c r="L55" s="157"/>
      <c r="M55" s="309"/>
      <c r="N55" s="152"/>
      <c r="O55" s="985" t="str">
        <f>VLOOKUP(VLOOKUP($C$3&amp;"-"&amp;$D55,Import!$C:$D,2,FALSE),Parameters!$C$18:$F$22,Summary!$C$7,FALSE)</f>
        <v xml:space="preserve">0 - Vastaus puuttuu </v>
      </c>
      <c r="P55" s="1026" t="str">
        <f>IF(VLOOKUP($C$3&amp;"-"&amp;$D55,Import!$C:$H,3,FALSE)=0,"",VLOOKUP($C$3&amp;"-"&amp;$D55,Import!$C:$H,3,FALSE))</f>
        <v/>
      </c>
      <c r="Q55" s="1026" t="str">
        <f>IF(VLOOKUP($C$3&amp;"-"&amp;$D55,Import!$C:$H,4,FALSE)=0,"",VLOOKUP($C$3&amp;"-"&amp;$D55,Import!$C:$H,4,FALSE))</f>
        <v/>
      </c>
      <c r="R55" s="1026" t="str">
        <f>IF(VLOOKUP($C$3&amp;"-"&amp;$D55,Import!$C:$H,5,FALSE)=0,"",VLOOKUP($C$3&amp;"-"&amp;$D55,Import!$C:$H,5,FALSE))</f>
        <v/>
      </c>
      <c r="S55" s="1027" t="str">
        <f>IF(VLOOKUP($C$3&amp;"-"&amp;$D55,Import!$C:$H,6,FALSE)=0,"",VLOOKUP($C$3&amp;"-"&amp;$D55,Import!$C:$H,6,FALSE))</f>
        <v/>
      </c>
      <c r="T55" s="157"/>
      <c r="U55" s="309"/>
    </row>
    <row r="56" spans="1:21" s="300" customFormat="1" ht="34.950000000000003" customHeight="1" x14ac:dyDescent="0.3">
      <c r="A56" s="309"/>
      <c r="B56" s="273"/>
      <c r="C56" s="274">
        <v>4</v>
      </c>
      <c r="D56" s="274" t="str">
        <f>IF(VLOOKUP(CONCATENATE($C$3,"-",C56),Languages!$A:$D,1,TRUE)=CONCATENATE($C$3,"-",C56),VLOOKUP(CONCATENATE($C$3,"-",C56),Languages!$A:$D,Summary!$C$7,TRUE),NA())</f>
        <v>Riskeihin reagointi</v>
      </c>
      <c r="E56" s="173"/>
      <c r="F56" s="296" t="str">
        <f>IFERROR(INT(LEFT($G56,1)),"")</f>
        <v/>
      </c>
      <c r="G56" s="1006"/>
      <c r="H56" s="1030"/>
      <c r="I56" s="1030"/>
      <c r="J56" s="1030"/>
      <c r="K56" s="1030"/>
      <c r="L56" s="157"/>
      <c r="M56" s="309"/>
      <c r="N56" s="152"/>
      <c r="O56" s="296"/>
      <c r="P56" s="297"/>
      <c r="Q56" s="297"/>
      <c r="R56" s="297"/>
      <c r="S56" s="297"/>
      <c r="T56" s="157"/>
      <c r="U56" s="309"/>
    </row>
    <row r="57" spans="1:21" s="289" customFormat="1" ht="19.95" customHeight="1" x14ac:dyDescent="0.2">
      <c r="A57" s="308"/>
      <c r="B57" s="283"/>
      <c r="C57" s="284" t="str">
        <f>IF(VLOOKUP("GEN-LEVEL",Languages!$A:$D,1,TRUE)="GEN-LEVEL",VLOOKUP("GEN-LEVEL",Languages!$A:$D,Summary!$C$7,TRUE),NA())</f>
        <v>Taso</v>
      </c>
      <c r="D57" s="284"/>
      <c r="E57" s="285" t="str">
        <f>IF(VLOOKUP("GEN-PRACTICE",Languages!$A:$D,1,TRUE)="GEN-PRACTICE",VLOOKUP("GEN-PRACTICE",Languages!$A:$D,Summary!$C$7,TRUE),NA())</f>
        <v>Käytäntö</v>
      </c>
      <c r="F57" s="286"/>
      <c r="G57" s="1003" t="str">
        <f>IF(VLOOKUP("GEN-ANSWER",Languages!$A:$D,1,TRUE)="GEN-ANSWER",VLOOKUP("GEN-ANSWER",Languages!$A:$D,Summary!$C$7,TRUE),NA())</f>
        <v>Vastaus</v>
      </c>
      <c r="H57" s="1004" t="str">
        <f>IF(VLOOKUP("KM112",Languages!$A:$D,1,TRUE)="KM112",VLOOKUP("KM112",Languages!$A:$D,Summary!$C$7,TRUE),NA())</f>
        <v>Kommentit</v>
      </c>
      <c r="I57" s="1004" t="str">
        <f>IF(VLOOKUP("KM113",Languages!$A:$D,1,TRUE)="KM113",VLOOKUP("KM113",Languages!$A:$D,Summary!$C$7,TRUE),NA())</f>
        <v>Sisäinen viittaus</v>
      </c>
      <c r="J57" s="1004" t="str">
        <f>IF(VLOOKUP("KM114",Languages!$A:$D,1,TRUE)="KM114",VLOOKUP("KM114",Languages!$A:$D,Summary!$C$7,TRUE),NA())</f>
        <v>Ulkoinen viittaus</v>
      </c>
      <c r="K57" s="1004" t="str">
        <f>IF(VLOOKUP("KM115",Languages!$A:$D,1,TRUE)="KM115",VLOOKUP("KM115",Languages!$A:$D,Summary!$C$7,TRUE),NA())</f>
        <v>Kehityskohde</v>
      </c>
      <c r="L57" s="287"/>
      <c r="M57" s="288"/>
      <c r="N57" s="283"/>
      <c r="O57" s="503" t="str">
        <f>IF(VLOOKUP("GEN-ANSWER",Languages!$A:$D,1,TRUE)="GEN-ANSWER",VLOOKUP("GEN-ANSWER",Languages!$A:$D,Summary!$C$7,TRUE),NA())</f>
        <v>Vastaus</v>
      </c>
      <c r="P57" s="503" t="str">
        <f>IF(VLOOKUP("KM112",Languages!$A:$D,1,TRUE)="KM112",VLOOKUP("KM112",Languages!$A:$D,Summary!$C$7,TRUE),NA())</f>
        <v>Kommentit</v>
      </c>
      <c r="Q57" s="503" t="str">
        <f>IF(VLOOKUP("KM113",Languages!$A:$D,1,TRUE)="KM113",VLOOKUP("KM113",Languages!$A:$D,Summary!$C$7,TRUE),NA())</f>
        <v>Sisäinen viittaus</v>
      </c>
      <c r="R57" s="503" t="str">
        <f>IF(VLOOKUP("KM114",Languages!$A:$D,1,TRUE)="KM114",VLOOKUP("KM114",Languages!$A:$D,Summary!$C$7,TRUE),NA())</f>
        <v>Ulkoinen viittaus</v>
      </c>
      <c r="S57" s="503" t="str">
        <f>IF(VLOOKUP("KM115",Languages!$A:$D,1,TRUE)="KM115",VLOOKUP("KM115",Languages!$A:$D,Summary!$C$7,TRUE),NA())</f>
        <v>Kehityskohde</v>
      </c>
      <c r="T57" s="287"/>
      <c r="U57" s="288"/>
    </row>
    <row r="58" spans="1:21" s="300" customFormat="1" ht="67.2" customHeight="1" x14ac:dyDescent="0.2">
      <c r="A58" s="309"/>
      <c r="B58" s="1213"/>
      <c r="C58" s="568">
        <v>1</v>
      </c>
      <c r="D58" s="410" t="s">
        <v>123</v>
      </c>
      <c r="E58" s="506" t="str">
        <f>IF(VLOOKUP(CONCATENATE($C$3,"-",$D58),Languages!$A:$D,1,TRUE)=CONCATENATE($C$3,"-",$D58),VLOOKUP(CONCATENATE($C$3,"-",$D58),Languages!$A:$D,Summary!$C$7,TRUE),NA())</f>
        <v>Riskeihin reagointikeinot (kuten riskin pienentäminen, hyväksyminen, välttäminen tai siirtäminen) ovat käytössä kyberriskeille ja kyberriskikategorioille. Tasolla 1 tämän ei tarvitse olla systemaattista ja säännöllistä.</v>
      </c>
      <c r="F58" s="401">
        <f>IFERROR(INT(LEFT($G58,1)),0)</f>
        <v>0</v>
      </c>
      <c r="G58" s="496"/>
      <c r="H58" s="494"/>
      <c r="I58" s="494"/>
      <c r="J58" s="494"/>
      <c r="K58" s="495"/>
      <c r="L58" s="157"/>
      <c r="M58" s="309"/>
      <c r="N58" s="152"/>
      <c r="O58" s="985" t="str">
        <f>VLOOKUP(VLOOKUP($C$3&amp;"-"&amp;$D58,Import!$C:$D,2,FALSE),Parameters!$C$18:$F$22,Summary!$C$7,FALSE)</f>
        <v xml:space="preserve">0 - Vastaus puuttuu </v>
      </c>
      <c r="P58" s="1026" t="str">
        <f>IF(VLOOKUP($C$3&amp;"-"&amp;$D58,Import!$C:$H,3,FALSE)=0,"",VLOOKUP($C$3&amp;"-"&amp;$D58,Import!$C:$H,3,FALSE))</f>
        <v/>
      </c>
      <c r="Q58" s="1026" t="str">
        <f>IF(VLOOKUP($C$3&amp;"-"&amp;$D58,Import!$C:$H,4,FALSE)=0,"",VLOOKUP($C$3&amp;"-"&amp;$D58,Import!$C:$H,4,FALSE))</f>
        <v/>
      </c>
      <c r="R58" s="1026" t="str">
        <f>IF(VLOOKUP($C$3&amp;"-"&amp;$D58,Import!$C:$H,5,FALSE)=0,"",VLOOKUP($C$3&amp;"-"&amp;$D58,Import!$C:$H,5,FALSE))</f>
        <v/>
      </c>
      <c r="S58" s="1027" t="str">
        <f>IF(VLOOKUP($C$3&amp;"-"&amp;$D58,Import!$C:$H,6,FALSE)=0,"",VLOOKUP($C$3&amp;"-"&amp;$D58,Import!$C:$H,6,FALSE))</f>
        <v/>
      </c>
      <c r="T58" s="157"/>
      <c r="U58" s="309"/>
    </row>
    <row r="59" spans="1:21" s="300" customFormat="1" ht="43.2" customHeight="1" x14ac:dyDescent="0.2">
      <c r="A59" s="309"/>
      <c r="B59" s="1213"/>
      <c r="C59" s="570">
        <v>2</v>
      </c>
      <c r="D59" s="410" t="s">
        <v>126</v>
      </c>
      <c r="E59" s="506" t="str">
        <f>IF(VLOOKUP(CONCATENATE($C$3,"-",$D59),Languages!$A:$D,1,TRUE)=CONCATENATE($C$3,"-",$D59),VLOOKUP(CONCATENATE($C$3,"-",$D59),Languages!$A:$D,Summary!$C$7,TRUE),NA())</f>
        <v>Riskeihin reagoimisen keinot valitaan ja toteutetaan noudattaen määriteltyjä menetelmiä, jotka pohjautuvat analysointiin ja priorisointiin.</v>
      </c>
      <c r="F59" s="401">
        <f>IFERROR(INT(LEFT($G59,1)),0)</f>
        <v>0</v>
      </c>
      <c r="G59" s="496"/>
      <c r="H59" s="494"/>
      <c r="I59" s="494"/>
      <c r="J59" s="494"/>
      <c r="K59" s="495"/>
      <c r="L59" s="157"/>
      <c r="M59" s="309"/>
      <c r="N59" s="152"/>
      <c r="O59" s="985" t="str">
        <f>VLOOKUP(VLOOKUP($C$3&amp;"-"&amp;$D59,Import!$C:$D,2,FALSE),Parameters!$C$18:$F$22,Summary!$C$7,FALSE)</f>
        <v xml:space="preserve">0 - Vastaus puuttuu </v>
      </c>
      <c r="P59" s="1026" t="str">
        <f>IF(VLOOKUP($C$3&amp;"-"&amp;$D59,Import!$C:$H,3,FALSE)=0,"",VLOOKUP($C$3&amp;"-"&amp;$D59,Import!$C:$H,3,FALSE))</f>
        <v/>
      </c>
      <c r="Q59" s="1026" t="str">
        <f>IF(VLOOKUP($C$3&amp;"-"&amp;$D59,Import!$C:$H,4,FALSE)=0,"",VLOOKUP($C$3&amp;"-"&amp;$D59,Import!$C:$H,4,FALSE))</f>
        <v/>
      </c>
      <c r="R59" s="1026" t="str">
        <f>IF(VLOOKUP($C$3&amp;"-"&amp;$D59,Import!$C:$H,5,FALSE)=0,"",VLOOKUP($C$3&amp;"-"&amp;$D59,Import!$C:$H,5,FALSE))</f>
        <v/>
      </c>
      <c r="S59" s="1027" t="str">
        <f>IF(VLOOKUP($C$3&amp;"-"&amp;$D59,Import!$C:$H,6,FALSE)=0,"",VLOOKUP($C$3&amp;"-"&amp;$D59,Import!$C:$H,6,FALSE))</f>
        <v/>
      </c>
      <c r="T59" s="157"/>
      <c r="U59" s="309"/>
    </row>
    <row r="60" spans="1:21" s="300" customFormat="1" ht="45" customHeight="1" x14ac:dyDescent="0.2">
      <c r="A60" s="309"/>
      <c r="B60" s="1213"/>
      <c r="C60" s="1226">
        <v>3</v>
      </c>
      <c r="D60" s="406" t="s">
        <v>129</v>
      </c>
      <c r="E60" s="507" t="str">
        <f>IF(VLOOKUP(CONCATENATE($C$3,"-",$D60),Languages!$A:$D,1,TRUE)=CONCATENATE($C$3,"-",$D60),VLOOKUP(CONCATENATE($C$3,"-",$D60),Languages!$A:$D,Summary!$C$7,TRUE),NA())</f>
        <v>Kyberturvallisuuden suojausmekanismien suunnittelun onnistumista ja niiden tosiasiallista vaikutusta kyberriskien pienenemiseen arvioidaan.</v>
      </c>
      <c r="F60" s="396">
        <f>IFERROR(INT(LEFT($G60,1)),0)</f>
        <v>0</v>
      </c>
      <c r="G60" s="485"/>
      <c r="H60" s="482"/>
      <c r="I60" s="482"/>
      <c r="J60" s="482"/>
      <c r="K60" s="491"/>
      <c r="L60" s="157"/>
      <c r="M60" s="309"/>
      <c r="N60" s="152"/>
      <c r="O60" s="988" t="str">
        <f>VLOOKUP(VLOOKUP($C$3&amp;"-"&amp;$D60,Import!$C:$D,2,FALSE),Parameters!$C$18:$F$22,Summary!$C$7,FALSE)</f>
        <v xml:space="preserve">0 - Vastaus puuttuu </v>
      </c>
      <c r="P60" s="1022" t="str">
        <f>IF(VLOOKUP($C$3&amp;"-"&amp;$D60,Import!$C:$H,3,FALSE)=0,"",VLOOKUP($C$3&amp;"-"&amp;$D60,Import!$C:$H,3,FALSE))</f>
        <v/>
      </c>
      <c r="Q60" s="1022" t="str">
        <f>IF(VLOOKUP($C$3&amp;"-"&amp;$D60,Import!$C:$H,4,FALSE)=0,"",VLOOKUP($C$3&amp;"-"&amp;$D60,Import!$C:$H,4,FALSE))</f>
        <v/>
      </c>
      <c r="R60" s="1022" t="str">
        <f>IF(VLOOKUP($C$3&amp;"-"&amp;$D60,Import!$C:$H,5,FALSE)=0,"",VLOOKUP($C$3&amp;"-"&amp;$D60,Import!$C:$H,5,FALSE))</f>
        <v/>
      </c>
      <c r="S60" s="1023" t="str">
        <f>IF(VLOOKUP($C$3&amp;"-"&amp;$D60,Import!$C:$H,6,FALSE)=0,"",VLOOKUP($C$3&amp;"-"&amp;$D60,Import!$C:$H,6,FALSE))</f>
        <v/>
      </c>
      <c r="T60" s="157"/>
      <c r="U60" s="309"/>
    </row>
    <row r="61" spans="1:21" s="300" customFormat="1" ht="60" customHeight="1" x14ac:dyDescent="0.2">
      <c r="A61" s="309"/>
      <c r="B61" s="1213"/>
      <c r="C61" s="1228"/>
      <c r="D61" s="298" t="s">
        <v>132</v>
      </c>
      <c r="E61" s="508" t="str">
        <f>IF(VLOOKUP(CONCATENATE($C$3,"-",$D61),Languages!$A:$D,1,TRUE)=CONCATENATE($C$3,"-",$D61),VLOOKUP(CONCATENATE($C$3,"-",$D61),Languages!$A:$D,Summary!$C$7,TRUE),NA())</f>
        <v>Yritysjohto tarkastaa sekä kyberriskien vaikutusarviointien että kyberturvallisuuden suojausmekanismien arviointien tulokset varmistuakseen riskienhallinnan riittävyydestä ja siitä, että riskit ovat organisaation riskinottohalukkuuden mukaisia.</v>
      </c>
      <c r="F61" s="291">
        <f>IFERROR(INT(LEFT($G61,1)),0)</f>
        <v>0</v>
      </c>
      <c r="G61" s="311"/>
      <c r="H61" s="483"/>
      <c r="I61" s="483"/>
      <c r="J61" s="483"/>
      <c r="K61" s="492"/>
      <c r="L61" s="157"/>
      <c r="M61" s="309"/>
      <c r="N61" s="152"/>
      <c r="O61" s="991" t="str">
        <f>VLOOKUP(VLOOKUP($C$3&amp;"-"&amp;$D61,Import!$C:$D,2,FALSE),Parameters!$C$18:$F$22,Summary!$C$7,FALSE)</f>
        <v xml:space="preserve">0 - Vastaus puuttuu </v>
      </c>
      <c r="P61" s="1017" t="str">
        <f>IF(VLOOKUP($C$3&amp;"-"&amp;$D61,Import!$C:$H,3,FALSE)=0,"",VLOOKUP($C$3&amp;"-"&amp;$D61,Import!$C:$H,3,FALSE))</f>
        <v/>
      </c>
      <c r="Q61" s="1017" t="str">
        <f>IF(VLOOKUP($C$3&amp;"-"&amp;$D61,Import!$C:$H,4,FALSE)=0,"",VLOOKUP($C$3&amp;"-"&amp;$D61,Import!$C:$H,4,FALSE))</f>
        <v/>
      </c>
      <c r="R61" s="1017" t="str">
        <f>IF(VLOOKUP($C$3&amp;"-"&amp;$D61,Import!$C:$H,5,FALSE)=0,"",VLOOKUP($C$3&amp;"-"&amp;$D61,Import!$C:$H,5,FALSE))</f>
        <v/>
      </c>
      <c r="S61" s="1018" t="str">
        <f>IF(VLOOKUP($C$3&amp;"-"&amp;$D61,Import!$C:$H,6,FALSE)=0,"",VLOOKUP($C$3&amp;"-"&amp;$D61,Import!$C:$H,6,FALSE))</f>
        <v/>
      </c>
      <c r="T61" s="157"/>
      <c r="U61" s="309"/>
    </row>
    <row r="62" spans="1:21" s="300" customFormat="1" ht="45" customHeight="1" x14ac:dyDescent="0.2">
      <c r="A62" s="309"/>
      <c r="B62" s="393"/>
      <c r="C62" s="1227"/>
      <c r="D62" s="407" t="s">
        <v>135</v>
      </c>
      <c r="E62" s="514" t="str">
        <f>IF(VLOOKUP(CONCATENATE($C$3,"-",$D62),Languages!$A:$D,1,TRUE)=CONCATENATE($C$3,"-",$D62),VLOOKUP(CONCATENATE($C$3,"-",$D62),Languages!$A:$D,Summary!$C$7,TRUE),NA())</f>
        <v>Yritysjohto tarkastaa riskeihin reagoimisen keinot (kuten riskin pienentäminen, hyväksyminen, välttäminen tai siirtäminen) aika ajoin varmistuakseen niiden soveltuvuudesta.</v>
      </c>
      <c r="F62" s="403">
        <f>IFERROR(INT(LEFT($G62,1)),0)</f>
        <v>0</v>
      </c>
      <c r="G62" s="489"/>
      <c r="H62" s="484"/>
      <c r="I62" s="484"/>
      <c r="J62" s="484"/>
      <c r="K62" s="493"/>
      <c r="L62" s="157"/>
      <c r="M62" s="309"/>
      <c r="N62" s="152"/>
      <c r="O62" s="996" t="str">
        <f>VLOOKUP(VLOOKUP($C$3&amp;"-"&amp;$D62,Import!$C:$D,2,FALSE),Parameters!$C$18:$F$22,Summary!$C$7,FALSE)</f>
        <v xml:space="preserve">0 - Vastaus puuttuu </v>
      </c>
      <c r="P62" s="1024" t="str">
        <f>IF(VLOOKUP($C$3&amp;"-"&amp;$D62,Import!$C:$H,3,FALSE)=0,"",VLOOKUP($C$3&amp;"-"&amp;$D62,Import!$C:$H,3,FALSE))</f>
        <v/>
      </c>
      <c r="Q62" s="1024" t="str">
        <f>IF(VLOOKUP($C$3&amp;"-"&amp;$D62,Import!$C:$H,4,FALSE)=0,"",VLOOKUP($C$3&amp;"-"&amp;$D62,Import!$C:$H,4,FALSE))</f>
        <v/>
      </c>
      <c r="R62" s="1024" t="str">
        <f>IF(VLOOKUP($C$3&amp;"-"&amp;$D62,Import!$C:$H,5,FALSE)=0,"",VLOOKUP($C$3&amp;"-"&amp;$D62,Import!$C:$H,5,FALSE))</f>
        <v/>
      </c>
      <c r="S62" s="1025" t="str">
        <f>IF(VLOOKUP($C$3&amp;"-"&amp;$D62,Import!$C:$H,6,FALSE)=0,"",VLOOKUP($C$3&amp;"-"&amp;$D62,Import!$C:$H,6,FALSE))</f>
        <v/>
      </c>
      <c r="T62" s="157"/>
      <c r="U62" s="309"/>
    </row>
    <row r="63" spans="1:21" s="300" customFormat="1" ht="34.950000000000003" customHeight="1" x14ac:dyDescent="0.3">
      <c r="A63" s="309"/>
      <c r="B63" s="273"/>
      <c r="C63" s="274">
        <v>5</v>
      </c>
      <c r="D63" s="274" t="str">
        <f>IF(VLOOKUP(CONCATENATE($C$3,"-",C63),Languages!$A:$D,1,TRUE)=CONCATENATE($C$3,"-",C63),VLOOKUP(CONCATENATE($C$3,"-",C63),Languages!$A:$D,Summary!$C$7,TRUE),NA())</f>
        <v>Yleisiä hallintatoimia</v>
      </c>
      <c r="E63" s="173"/>
      <c r="F63" s="296" t="str">
        <f>IFERROR(INT(LEFT($G63,1)),"")</f>
        <v/>
      </c>
      <c r="G63" s="1006"/>
      <c r="H63" s="1030"/>
      <c r="I63" s="1030"/>
      <c r="J63" s="1030"/>
      <c r="K63" s="1030"/>
      <c r="L63" s="157"/>
      <c r="M63" s="309"/>
      <c r="N63" s="152"/>
      <c r="O63" s="296"/>
      <c r="P63" s="297"/>
      <c r="Q63" s="297"/>
      <c r="R63" s="297"/>
      <c r="S63" s="297"/>
      <c r="T63" s="157"/>
      <c r="U63" s="309"/>
    </row>
    <row r="64" spans="1:21" s="289" customFormat="1" ht="19.95" customHeight="1" x14ac:dyDescent="0.2">
      <c r="A64" s="308"/>
      <c r="B64" s="283"/>
      <c r="C64" s="284" t="str">
        <f>IF(VLOOKUP("GEN-LEVEL",Languages!$A:$D,1,TRUE)="GEN-LEVEL",VLOOKUP("GEN-LEVEL",Languages!$A:$D,Summary!$C$7,TRUE),NA())</f>
        <v>Taso</v>
      </c>
      <c r="D64" s="284"/>
      <c r="E64" s="285" t="str">
        <f>IF(VLOOKUP("GEN-PRACTICE",Languages!$A:$D,1,TRUE)="GEN-PRACTICE",VLOOKUP("GEN-PRACTICE",Languages!$A:$D,Summary!$C$7,TRUE),NA())</f>
        <v>Käytäntö</v>
      </c>
      <c r="F64" s="286"/>
      <c r="G64" s="1003" t="str">
        <f>IF(VLOOKUP("GEN-ANSWER",Languages!$A:$D,1,TRUE)="GEN-ANSWER",VLOOKUP("GEN-ANSWER",Languages!$A:$D,Summary!$C$7,TRUE),NA())</f>
        <v>Vastaus</v>
      </c>
      <c r="H64" s="1004" t="str">
        <f>IF(VLOOKUP("KM112",Languages!$A:$D,1,TRUE)="KM112",VLOOKUP("KM112",Languages!$A:$D,Summary!$C$7,TRUE),NA())</f>
        <v>Kommentit</v>
      </c>
      <c r="I64" s="1004" t="str">
        <f>IF(VLOOKUP("KM113",Languages!$A:$D,1,TRUE)="KM113",VLOOKUP("KM113",Languages!$A:$D,Summary!$C$7,TRUE),NA())</f>
        <v>Sisäinen viittaus</v>
      </c>
      <c r="J64" s="1004" t="str">
        <f>IF(VLOOKUP("KM114",Languages!$A:$D,1,TRUE)="KM114",VLOOKUP("KM114",Languages!$A:$D,Summary!$C$7,TRUE),NA())</f>
        <v>Ulkoinen viittaus</v>
      </c>
      <c r="K64" s="1004" t="str">
        <f>IF(VLOOKUP("KM115",Languages!$A:$D,1,TRUE)="KM115",VLOOKUP("KM115",Languages!$A:$D,Summary!$C$7,TRUE),NA())</f>
        <v>Kehityskohde</v>
      </c>
      <c r="L64" s="287"/>
      <c r="M64" s="288"/>
      <c r="N64" s="283"/>
      <c r="O64" s="503" t="str">
        <f>IF(VLOOKUP("GEN-ANSWER",Languages!$A:$D,1,TRUE)="GEN-ANSWER",VLOOKUP("GEN-ANSWER",Languages!$A:$D,Summary!$C$7,TRUE),NA())</f>
        <v>Vastaus</v>
      </c>
      <c r="P64" s="503" t="str">
        <f>IF(VLOOKUP("KM112",Languages!$A:$D,1,TRUE)="KM112",VLOOKUP("KM112",Languages!$A:$D,Summary!$C$7,TRUE),NA())</f>
        <v>Kommentit</v>
      </c>
      <c r="Q64" s="503" t="str">
        <f>IF(VLOOKUP("KM113",Languages!$A:$D,1,TRUE)="KM113",VLOOKUP("KM113",Languages!$A:$D,Summary!$C$7,TRUE),NA())</f>
        <v>Sisäinen viittaus</v>
      </c>
      <c r="R64" s="503" t="str">
        <f>IF(VLOOKUP("KM114",Languages!$A:$D,1,TRUE)="KM114",VLOOKUP("KM114",Languages!$A:$D,Summary!$C$7,TRUE),NA())</f>
        <v>Ulkoinen viittaus</v>
      </c>
      <c r="S64" s="503" t="str">
        <f>IF(VLOOKUP("KM115",Languages!$A:$D,1,TRUE)="KM115",VLOOKUP("KM115",Languages!$A:$D,Summary!$C$7,TRUE),NA())</f>
        <v>Kehityskohde</v>
      </c>
      <c r="T64" s="287"/>
      <c r="U64" s="288"/>
    </row>
    <row r="65" spans="1:21" s="300" customFormat="1" ht="19.95" customHeight="1" x14ac:dyDescent="0.2">
      <c r="A65" s="309"/>
      <c r="B65" s="318"/>
      <c r="C65" s="497">
        <v>1</v>
      </c>
      <c r="D65" s="419"/>
      <c r="E65" s="420"/>
      <c r="F65" s="422"/>
      <c r="G65" s="1040"/>
      <c r="H65" s="1041"/>
      <c r="I65" s="1041"/>
      <c r="J65" s="1041"/>
      <c r="K65" s="1042"/>
      <c r="L65" s="157"/>
      <c r="M65" s="309"/>
      <c r="N65" s="152"/>
      <c r="O65" s="563"/>
      <c r="P65" s="421"/>
      <c r="Q65" s="421"/>
      <c r="R65" s="421"/>
      <c r="S65" s="423"/>
      <c r="T65" s="157"/>
      <c r="U65" s="309"/>
    </row>
    <row r="66" spans="1:21" s="300" customFormat="1" ht="34.950000000000003" customHeight="1" x14ac:dyDescent="0.2">
      <c r="A66" s="309"/>
      <c r="B66" s="1213"/>
      <c r="C66" s="1224">
        <v>2</v>
      </c>
      <c r="D66" s="406" t="s">
        <v>140</v>
      </c>
      <c r="E66" s="507" t="str">
        <f>IF(VLOOKUP(CONCATENATE($C$3,"-",$D66),Languages!$A:$D,1,TRUE)=CONCATENATE($C$3,"-",$D66),VLOOKUP(CONCATENATE($C$3,"-",$D66),Languages!$A:$D,Summary!$C$7,TRUE),NA())</f>
        <v>RISK-osion toimintaa varten on määritetty dokumentoidut toimintatavat, joita noudatetaan ja päivitetään säännöllisesti.</v>
      </c>
      <c r="F66" s="396">
        <f t="shared" ref="F66:F71" si="3">IFERROR(INT(LEFT($G66,1)),0)</f>
        <v>0</v>
      </c>
      <c r="G66" s="485"/>
      <c r="H66" s="482"/>
      <c r="I66" s="482"/>
      <c r="J66" s="482"/>
      <c r="K66" s="491"/>
      <c r="L66" s="157"/>
      <c r="M66" s="309"/>
      <c r="N66" s="152"/>
      <c r="O66" s="988" t="str">
        <f>VLOOKUP(VLOOKUP($C$3&amp;"-"&amp;$D66,Import!$C:$D,2,FALSE),Parameters!$C$18:$F$22,Summary!$C$7,FALSE)</f>
        <v xml:space="preserve">0 - Vastaus puuttuu </v>
      </c>
      <c r="P66" s="1022" t="str">
        <f>IF(VLOOKUP($C$3&amp;"-"&amp;$D66,Import!$C:$H,3,FALSE)=0,"",VLOOKUP($C$3&amp;"-"&amp;$D66,Import!$C:$H,3,FALSE))</f>
        <v/>
      </c>
      <c r="Q66" s="1022" t="str">
        <f>IF(VLOOKUP($C$3&amp;"-"&amp;$D66,Import!$C:$H,4,FALSE)=0,"",VLOOKUP($C$3&amp;"-"&amp;$D66,Import!$C:$H,4,FALSE))</f>
        <v/>
      </c>
      <c r="R66" s="1022" t="str">
        <f>IF(VLOOKUP($C$3&amp;"-"&amp;$D66,Import!$C:$H,5,FALSE)=0,"",VLOOKUP($C$3&amp;"-"&amp;$D66,Import!$C:$H,5,FALSE))</f>
        <v/>
      </c>
      <c r="S66" s="1023" t="str">
        <f>IF(VLOOKUP($C$3&amp;"-"&amp;$D66,Import!$C:$H,6,FALSE)=0,"",VLOOKUP($C$3&amp;"-"&amp;$D66,Import!$C:$H,6,FALSE))</f>
        <v/>
      </c>
      <c r="T66" s="157"/>
      <c r="U66" s="309"/>
    </row>
    <row r="67" spans="1:21" s="300" customFormat="1" ht="34.950000000000003" customHeight="1" x14ac:dyDescent="0.2">
      <c r="A67" s="309"/>
      <c r="B67" s="1213"/>
      <c r="C67" s="1225"/>
      <c r="D67" s="407" t="s">
        <v>143</v>
      </c>
      <c r="E67" s="514" t="str">
        <f>IF(VLOOKUP(CONCATENATE($C$3,"-",$D67),Languages!$A:$D,1,TRUE)=CONCATENATE($C$3,"-",$D67),VLOOKUP(CONCATENATE($C$3,"-",$D67),Languages!$A:$D,Summary!$C$7,TRUE),NA())</f>
        <v>RISK-osion toimintaa varten on tarjolla riittävät resurssit (henkilöstö, rahoitus ja työkalut).</v>
      </c>
      <c r="F67" s="403">
        <f t="shared" si="3"/>
        <v>0</v>
      </c>
      <c r="G67" s="489"/>
      <c r="H67" s="484"/>
      <c r="I67" s="484"/>
      <c r="J67" s="484"/>
      <c r="K67" s="493"/>
      <c r="L67" s="157"/>
      <c r="M67" s="309"/>
      <c r="N67" s="152"/>
      <c r="O67" s="996" t="str">
        <f>VLOOKUP(VLOOKUP($C$3&amp;"-"&amp;$D67,Import!$C:$D,2,FALSE),Parameters!$C$18:$F$22,Summary!$C$7,FALSE)</f>
        <v xml:space="preserve">0 - Vastaus puuttuu </v>
      </c>
      <c r="P67" s="1024" t="str">
        <f>IF(VLOOKUP($C$3&amp;"-"&amp;$D67,Import!$C:$H,3,FALSE)=0,"",VLOOKUP($C$3&amp;"-"&amp;$D67,Import!$C:$H,3,FALSE))</f>
        <v/>
      </c>
      <c r="Q67" s="1024" t="str">
        <f>IF(VLOOKUP($C$3&amp;"-"&amp;$D67,Import!$C:$H,4,FALSE)=0,"",VLOOKUP($C$3&amp;"-"&amp;$D67,Import!$C:$H,4,FALSE))</f>
        <v/>
      </c>
      <c r="R67" s="1024" t="str">
        <f>IF(VLOOKUP($C$3&amp;"-"&amp;$D67,Import!$C:$H,5,FALSE)=0,"",VLOOKUP($C$3&amp;"-"&amp;$D67,Import!$C:$H,5,FALSE))</f>
        <v/>
      </c>
      <c r="S67" s="1025" t="str">
        <f>IF(VLOOKUP($C$3&amp;"-"&amp;$D67,Import!$C:$H,6,FALSE)=0,"",VLOOKUP($C$3&amp;"-"&amp;$D67,Import!$C:$H,6,FALSE))</f>
        <v/>
      </c>
      <c r="T67" s="157"/>
      <c r="U67" s="309"/>
    </row>
    <row r="68" spans="1:21" s="300" customFormat="1" ht="44.4" customHeight="1" x14ac:dyDescent="0.2">
      <c r="A68" s="309"/>
      <c r="B68" s="1213"/>
      <c r="C68" s="1226">
        <v>3</v>
      </c>
      <c r="D68" s="406" t="s">
        <v>146</v>
      </c>
      <c r="E68" s="507" t="str">
        <f>IF(VLOOKUP(CONCATENATE($C$3,"-",$D68),Languages!$A:$D,1,TRUE)=CONCATENATE($C$3,"-",$D68),VLOOKUP(CONCATENATE($C$3,"-",$D68),Languages!$A:$D,Summary!$C$7,TRUE),NA())</f>
        <v>RISK-osion toimintaa ohjataan vaatimuksilla, jotka on asetettu organisaation johtotason politiikassa (tai vastaavassa ohjeistuksessa).</v>
      </c>
      <c r="F68" s="396">
        <f t="shared" si="3"/>
        <v>0</v>
      </c>
      <c r="G68" s="485"/>
      <c r="H68" s="482"/>
      <c r="I68" s="482"/>
      <c r="J68" s="482"/>
      <c r="K68" s="491"/>
      <c r="L68" s="157"/>
      <c r="M68" s="309"/>
      <c r="N68" s="152"/>
      <c r="O68" s="988" t="str">
        <f>VLOOKUP(VLOOKUP($C$3&amp;"-"&amp;$D68,Import!$C:$D,2,FALSE),Parameters!$C$18:$F$22,Summary!$C$7,FALSE)</f>
        <v xml:space="preserve">0 - Vastaus puuttuu </v>
      </c>
      <c r="P68" s="1022" t="str">
        <f>IF(VLOOKUP($C$3&amp;"-"&amp;$D68,Import!$C:$H,3,FALSE)=0,"",VLOOKUP($C$3&amp;"-"&amp;$D68,Import!$C:$H,3,FALSE))</f>
        <v/>
      </c>
      <c r="Q68" s="1022" t="str">
        <f>IF(VLOOKUP($C$3&amp;"-"&amp;$D68,Import!$C:$H,4,FALSE)=0,"",VLOOKUP($C$3&amp;"-"&amp;$D68,Import!$C:$H,4,FALSE))</f>
        <v/>
      </c>
      <c r="R68" s="1022" t="str">
        <f>IF(VLOOKUP($C$3&amp;"-"&amp;$D68,Import!$C:$H,5,FALSE)=0,"",VLOOKUP($C$3&amp;"-"&amp;$D68,Import!$C:$H,5,FALSE))</f>
        <v/>
      </c>
      <c r="S68" s="1023" t="str">
        <f>IF(VLOOKUP($C$3&amp;"-"&amp;$D68,Import!$C:$H,6,FALSE)=0,"",VLOOKUP($C$3&amp;"-"&amp;$D68,Import!$C:$H,6,FALSE))</f>
        <v/>
      </c>
      <c r="T68" s="157"/>
      <c r="U68" s="309"/>
    </row>
    <row r="69" spans="1:21" s="300" customFormat="1" ht="34.950000000000003" customHeight="1" x14ac:dyDescent="0.2">
      <c r="A69" s="309"/>
      <c r="B69" s="1213"/>
      <c r="C69" s="1228"/>
      <c r="D69" s="298" t="s">
        <v>149</v>
      </c>
      <c r="E69" s="508" t="str">
        <f>IF(VLOOKUP(CONCATENATE($C$3,"-",$D69),Languages!$A:$D,1,TRUE)=CONCATENATE($C$3,"-",$D69),VLOOKUP(CONCATENATE($C$3,"-",$D69),Languages!$A:$D,Summary!$C$7,TRUE),NA())</f>
        <v>RISK-osion toimintaa suorittavilla työntekijöillä on riittävät tiedot ja taidot tehtäviensä suorittamiseen.</v>
      </c>
      <c r="F69" s="291">
        <f t="shared" si="3"/>
        <v>0</v>
      </c>
      <c r="G69" s="311"/>
      <c r="H69" s="483"/>
      <c r="I69" s="483"/>
      <c r="J69" s="483"/>
      <c r="K69" s="492"/>
      <c r="L69" s="157"/>
      <c r="M69" s="309"/>
      <c r="N69" s="152"/>
      <c r="O69" s="991" t="str">
        <f>VLOOKUP(VLOOKUP($C$3&amp;"-"&amp;$D69,Import!$C:$D,2,FALSE),Parameters!$C$18:$F$22,Summary!$C$7,FALSE)</f>
        <v xml:space="preserve">0 - Vastaus puuttuu </v>
      </c>
      <c r="P69" s="1017" t="str">
        <f>IF(VLOOKUP($C$3&amp;"-"&amp;$D69,Import!$C:$H,3,FALSE)=0,"",VLOOKUP($C$3&amp;"-"&amp;$D69,Import!$C:$H,3,FALSE))</f>
        <v/>
      </c>
      <c r="Q69" s="1017" t="str">
        <f>IF(VLOOKUP($C$3&amp;"-"&amp;$D69,Import!$C:$H,4,FALSE)=0,"",VLOOKUP($C$3&amp;"-"&amp;$D69,Import!$C:$H,4,FALSE))</f>
        <v/>
      </c>
      <c r="R69" s="1017" t="str">
        <f>IF(VLOOKUP($C$3&amp;"-"&amp;$D69,Import!$C:$H,5,FALSE)=0,"",VLOOKUP($C$3&amp;"-"&amp;$D69,Import!$C:$H,5,FALSE))</f>
        <v/>
      </c>
      <c r="S69" s="1018" t="str">
        <f>IF(VLOOKUP($C$3&amp;"-"&amp;$D69,Import!$C:$H,6,FALSE)=0,"",VLOOKUP($C$3&amp;"-"&amp;$D69,Import!$C:$H,6,FALSE))</f>
        <v/>
      </c>
      <c r="T69" s="157"/>
      <c r="U69" s="309"/>
    </row>
    <row r="70" spans="1:21" s="300" customFormat="1" ht="40.799999999999997" customHeight="1" x14ac:dyDescent="0.2">
      <c r="A70" s="309"/>
      <c r="B70" s="1213"/>
      <c r="C70" s="1228"/>
      <c r="D70" s="298" t="s">
        <v>151</v>
      </c>
      <c r="E70" s="508" t="str">
        <f>IF(VLOOKUP(CONCATENATE($C$3,"-",$D70),Languages!$A:$D,1,TRUE)=CONCATENATE($C$3,"-",$D70),VLOOKUP(CONCATENATE($C$3,"-",$D70),Languages!$A:$D,Summary!$C$7,TRUE),NA())</f>
        <v>RISK-osion toiminnan suorittamiseen tarvittavat vastuut, tilivelvollisuudet ja valtuutukset on jalkautettu soveltuville työntekijöille.</v>
      </c>
      <c r="F70" s="291">
        <f t="shared" si="3"/>
        <v>0</v>
      </c>
      <c r="G70" s="311"/>
      <c r="H70" s="483"/>
      <c r="I70" s="483"/>
      <c r="J70" s="483"/>
      <c r="K70" s="492"/>
      <c r="L70" s="157"/>
      <c r="M70" s="309"/>
      <c r="N70" s="152"/>
      <c r="O70" s="991" t="str">
        <f>VLOOKUP(VLOOKUP($C$3&amp;"-"&amp;$D70,Import!$C:$D,2,FALSE),Parameters!$C$18:$F$22,Summary!$C$7,FALSE)</f>
        <v xml:space="preserve">0 - Vastaus puuttuu </v>
      </c>
      <c r="P70" s="1017" t="str">
        <f>IF(VLOOKUP($C$3&amp;"-"&amp;$D70,Import!$C:$H,3,FALSE)=0,"",VLOOKUP($C$3&amp;"-"&amp;$D70,Import!$C:$H,3,FALSE))</f>
        <v/>
      </c>
      <c r="Q70" s="1017" t="str">
        <f>IF(VLOOKUP($C$3&amp;"-"&amp;$D70,Import!$C:$H,4,FALSE)=0,"",VLOOKUP($C$3&amp;"-"&amp;$D70,Import!$C:$H,4,FALSE))</f>
        <v/>
      </c>
      <c r="R70" s="1017" t="str">
        <f>IF(VLOOKUP($C$3&amp;"-"&amp;$D70,Import!$C:$H,5,FALSE)=0,"",VLOOKUP($C$3&amp;"-"&amp;$D70,Import!$C:$H,5,FALSE))</f>
        <v/>
      </c>
      <c r="S70" s="1018" t="str">
        <f>IF(VLOOKUP($C$3&amp;"-"&amp;$D70,Import!$C:$H,6,FALSE)=0,"",VLOOKUP($C$3&amp;"-"&amp;$D70,Import!$C:$H,6,FALSE))</f>
        <v/>
      </c>
      <c r="T70" s="157"/>
      <c r="U70" s="309"/>
    </row>
    <row r="71" spans="1:21" s="300" customFormat="1" ht="42.6" customHeight="1" x14ac:dyDescent="0.2">
      <c r="A71" s="309"/>
      <c r="B71" s="1213"/>
      <c r="C71" s="1227"/>
      <c r="D71" s="407" t="s">
        <v>153</v>
      </c>
      <c r="E71" s="514" t="str">
        <f>IF(VLOOKUP(CONCATENATE($C$3,"-",$D71),Languages!$A:$D,1,TRUE)=CONCATENATE($C$3,"-",$D71),VLOOKUP(CONCATENATE($C$3,"-",$D71),Languages!$A:$D,Summary!$C$7,TRUE),NA())</f>
        <v>RISK-osion toiminnan vaikuttavuutta arvioidaan ja seurataan.</v>
      </c>
      <c r="F71" s="403">
        <f t="shared" si="3"/>
        <v>0</v>
      </c>
      <c r="G71" s="489"/>
      <c r="H71" s="484"/>
      <c r="I71" s="484"/>
      <c r="J71" s="484"/>
      <c r="K71" s="493"/>
      <c r="L71" s="157"/>
      <c r="M71" s="309"/>
      <c r="N71" s="152"/>
      <c r="O71" s="996" t="str">
        <f>VLOOKUP(VLOOKUP($C$3&amp;"-"&amp;$D71,Import!$C:$D,2,FALSE),Parameters!$C$18:$F$22,Summary!$C$7,FALSE)</f>
        <v xml:space="preserve">0 - Vastaus puuttuu </v>
      </c>
      <c r="P71" s="1024" t="str">
        <f>IF(VLOOKUP($C$3&amp;"-"&amp;$D71,Import!$C:$H,3,FALSE)=0,"",VLOOKUP($C$3&amp;"-"&amp;$D71,Import!$C:$H,3,FALSE))</f>
        <v/>
      </c>
      <c r="Q71" s="1024" t="str">
        <f>IF(VLOOKUP($C$3&amp;"-"&amp;$D71,Import!$C:$H,4,FALSE)=0,"",VLOOKUP($C$3&amp;"-"&amp;$D71,Import!$C:$H,4,FALSE))</f>
        <v/>
      </c>
      <c r="R71" s="1024" t="str">
        <f>IF(VLOOKUP($C$3&amp;"-"&amp;$D71,Import!$C:$H,5,FALSE)=0,"",VLOOKUP($C$3&amp;"-"&amp;$D71,Import!$C:$H,5,FALSE))</f>
        <v/>
      </c>
      <c r="S71" s="1025" t="str">
        <f>IF(VLOOKUP($C$3&amp;"-"&amp;$D71,Import!$C:$H,6,FALSE)=0,"",VLOOKUP($C$3&amp;"-"&amp;$D71,Import!$C:$H,6,FALSE))</f>
        <v/>
      </c>
      <c r="T71" s="157"/>
      <c r="U71" s="309"/>
    </row>
    <row r="72" spans="1:21" ht="11.4" x14ac:dyDescent="0.2">
      <c r="A72" s="240"/>
      <c r="B72" s="241"/>
      <c r="C72" s="302"/>
      <c r="D72" s="242"/>
      <c r="E72" s="243"/>
      <c r="F72" s="245"/>
      <c r="G72" s="246"/>
      <c r="H72" s="303"/>
      <c r="I72" s="303"/>
      <c r="J72" s="303"/>
      <c r="K72" s="303"/>
      <c r="L72" s="157"/>
      <c r="M72" s="240"/>
      <c r="N72" s="152"/>
      <c r="O72" s="246"/>
      <c r="P72" s="303"/>
      <c r="Q72" s="303"/>
      <c r="R72" s="303"/>
      <c r="S72" s="303"/>
      <c r="T72" s="157"/>
      <c r="U72" s="240"/>
    </row>
    <row r="73" spans="1:21" ht="11.4" x14ac:dyDescent="0.25">
      <c r="A73" s="240"/>
      <c r="B73" s="240"/>
      <c r="C73" s="240"/>
      <c r="D73" s="240"/>
      <c r="E73" s="240"/>
      <c r="F73" s="249"/>
      <c r="G73" s="240"/>
      <c r="H73" s="240"/>
      <c r="I73" s="240"/>
      <c r="J73" s="240"/>
      <c r="K73" s="240"/>
      <c r="L73" s="542"/>
      <c r="M73" s="240"/>
      <c r="N73" s="542"/>
      <c r="O73" s="240"/>
      <c r="P73" s="240"/>
      <c r="Q73" s="240"/>
      <c r="R73" s="240"/>
      <c r="S73" s="240"/>
      <c r="T73" s="542"/>
      <c r="U73" s="240"/>
    </row>
  </sheetData>
  <sheetProtection sheet="1" formatCells="0" formatColumns="0" formatRows="0"/>
  <mergeCells count="26">
    <mergeCell ref="I8:J8"/>
    <mergeCell ref="I10:J11"/>
    <mergeCell ref="C6:K6"/>
    <mergeCell ref="C13:K13"/>
    <mergeCell ref="O3:S21"/>
    <mergeCell ref="B58:B61"/>
    <mergeCell ref="B49:B52"/>
    <mergeCell ref="B53:B55"/>
    <mergeCell ref="B36:B38"/>
    <mergeCell ref="B34:B35"/>
    <mergeCell ref="B70:B71"/>
    <mergeCell ref="B66:B69"/>
    <mergeCell ref="C66:C67"/>
    <mergeCell ref="C68:C71"/>
    <mergeCell ref="C15:K15"/>
    <mergeCell ref="C17:K17"/>
    <mergeCell ref="C19:K19"/>
    <mergeCell ref="C21:K21"/>
    <mergeCell ref="C35:C40"/>
    <mergeCell ref="B26:B27"/>
    <mergeCell ref="C60:C62"/>
    <mergeCell ref="C27:C29"/>
    <mergeCell ref="C50:C54"/>
    <mergeCell ref="C30:C31"/>
    <mergeCell ref="C41:C46"/>
    <mergeCell ref="B28:B31"/>
  </mergeCells>
  <conditionalFormatting sqref="F47 F72:F1048576 F4:F5 F12 F7:F9 F26:F32 F34:F38 F49:F56 F58:F62">
    <cfRule type="containsText" dxfId="235" priority="45" operator="containsText" text="0">
      <formula>NOT(ISERROR(SEARCH("0",F4)))</formula>
    </cfRule>
  </conditionalFormatting>
  <conditionalFormatting sqref="F63 F65:F71">
    <cfRule type="containsText" dxfId="234" priority="37" operator="containsText" text="0">
      <formula>NOT(ISERROR(SEARCH("0",F63)))</formula>
    </cfRule>
  </conditionalFormatting>
  <conditionalFormatting sqref="F41:F44">
    <cfRule type="containsText" dxfId="233" priority="35" operator="containsText" text="0">
      <formula>NOT(ISERROR(SEARCH("0",F41)))</formula>
    </cfRule>
  </conditionalFormatting>
  <conditionalFormatting sqref="F39:F40">
    <cfRule type="containsText" dxfId="232" priority="29" operator="containsText" text="0">
      <formula>NOT(ISERROR(SEARCH("0",F39)))</formula>
    </cfRule>
  </conditionalFormatting>
  <conditionalFormatting sqref="F45:F46">
    <cfRule type="containsText" dxfId="231" priority="31" operator="containsText" text="0">
      <formula>NOT(ISERROR(SEARCH("0",F45)))</formula>
    </cfRule>
  </conditionalFormatting>
  <conditionalFormatting sqref="F10">
    <cfRule type="containsText" dxfId="230" priority="27" operator="containsText" text="0">
      <formula>NOT(ISERROR(SEARCH("0",F10)))</formula>
    </cfRule>
  </conditionalFormatting>
  <conditionalFormatting sqref="F11">
    <cfRule type="containsText" dxfId="229" priority="25" operator="containsText" text="0">
      <formula>NOT(ISERROR(SEARCH("0",F11)))</formula>
    </cfRule>
  </conditionalFormatting>
  <conditionalFormatting sqref="F1 F3">
    <cfRule type="containsText" dxfId="228" priority="22" operator="containsText" text="0">
      <formula>NOT(ISERROR(SEARCH("0",F1)))</formula>
    </cfRule>
  </conditionalFormatting>
  <conditionalFormatting sqref="F2">
    <cfRule type="containsText" dxfId="227" priority="21" operator="containsText" text="0">
      <formula>NOT(ISERROR(SEARCH("0",F2)))</formula>
    </cfRule>
  </conditionalFormatting>
  <conditionalFormatting sqref="F64">
    <cfRule type="containsText" dxfId="226" priority="19" operator="containsText" text="0">
      <formula>NOT(ISERROR(SEARCH("0",F64)))</formula>
    </cfRule>
  </conditionalFormatting>
  <conditionalFormatting sqref="F57">
    <cfRule type="containsText" dxfId="225" priority="17" operator="containsText" text="0">
      <formula>NOT(ISERROR(SEARCH("0",F57)))</formula>
    </cfRule>
  </conditionalFormatting>
  <conditionalFormatting sqref="F48">
    <cfRule type="containsText" dxfId="224" priority="15" operator="containsText" text="0">
      <formula>NOT(ISERROR(SEARCH("0",F48)))</formula>
    </cfRule>
  </conditionalFormatting>
  <conditionalFormatting sqref="F33">
    <cfRule type="containsText" dxfId="223" priority="13" operator="containsText" text="0">
      <formula>NOT(ISERROR(SEARCH("0",F33)))</formula>
    </cfRule>
  </conditionalFormatting>
  <conditionalFormatting sqref="F25">
    <cfRule type="containsText" dxfId="222" priority="11" operator="containsText" text="0">
      <formula>NOT(ISERROR(SEARCH("0",F25)))</formula>
    </cfRule>
  </conditionalFormatting>
  <conditionalFormatting sqref="F14">
    <cfRule type="containsText" dxfId="221" priority="9" operator="containsText" text="0">
      <formula>NOT(ISERROR(SEARCH("0",F14)))</formula>
    </cfRule>
  </conditionalFormatting>
  <conditionalFormatting sqref="F16">
    <cfRule type="containsText" dxfId="220" priority="7" operator="containsText" text="0">
      <formula>NOT(ISERROR(SEARCH("0",F16)))</formula>
    </cfRule>
  </conditionalFormatting>
  <conditionalFormatting sqref="F18">
    <cfRule type="containsText" dxfId="219" priority="5" operator="containsText" text="0">
      <formula>NOT(ISERROR(SEARCH("0",F18)))</formula>
    </cfRule>
  </conditionalFormatting>
  <conditionalFormatting sqref="F20">
    <cfRule type="containsText" dxfId="218" priority="3" operator="containsText" text="0">
      <formula>NOT(ISERROR(SEARCH("0",F20)))</formula>
    </cfRule>
  </conditionalFormatting>
  <conditionalFormatting sqref="F24">
    <cfRule type="containsText" dxfId="217" priority="1" operator="containsText" text="0">
      <formula>NOT(ISERROR(SEARCH("0",F24)))</formula>
    </cfRule>
  </conditionalFormatting>
  <pageMargins left="0.70866141732283472" right="0.70866141732283472" top="0.74803149606299213" bottom="0.74803149606299213" header="0.31496062992125984" footer="0.31496062992125984"/>
  <pageSetup paperSize="9" scale="40" orientation="portrait" r:id="rId1"/>
  <rowBreaks count="1" manualBreakCount="1">
    <brk id="46" max="16383" man="1"/>
  </rowBreaks>
  <colBreaks count="1" manualBreakCount="1">
    <brk id="13" max="1048575" man="1"/>
  </colBreaks>
  <ignoredErrors>
    <ignoredError sqref="O31 O46 O55 O62 O71 O26 O27 O28 O29 O30 O34 O35 O36 O37 O38 O39 O40 O41 O42 O43 O44 O45 O49 O50 O51 O52 O53 O54 O58 O59 O60 O61 O66 O67 O68 O69 O70 P26:S31 P34:S46 P49:S55 P58:S62 P66:S71" unlockedFormula="1"/>
  </ignoredErrors>
  <drawing r:id="rId2"/>
  <extLst>
    <ext xmlns:x14="http://schemas.microsoft.com/office/spreadsheetml/2009/9/main" uri="{78C0D931-6437-407d-A8EE-F0AAD7539E65}">
      <x14:conditionalFormattings>
        <x14:conditionalFormatting xmlns:xm="http://schemas.microsoft.com/office/excel/2006/main">
          <x14:cfRule type="iconSet" priority="46" id="{1B4C1B6A-AFFB-4548-A42F-B5B084DA0967}">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F72:F1048576 F4:F5 F47 F12 F7:F9 F26:F32 F34:F38 F49:F55</xm:sqref>
        </x14:conditionalFormatting>
        <x14:conditionalFormatting xmlns:xm="http://schemas.microsoft.com/office/excel/2006/main">
          <x14:cfRule type="iconSet" priority="36" id="{3BD889C3-D35A-41D1-B5F5-58C9352E5FA2}">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F41:F44</xm:sqref>
        </x14:conditionalFormatting>
        <x14:conditionalFormatting xmlns:xm="http://schemas.microsoft.com/office/excel/2006/main">
          <x14:cfRule type="iconSet" priority="494" id="{FBA19C6C-270B-4B9E-92BE-4844864DB3EF}">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F58:F62 F56</xm:sqref>
        </x14:conditionalFormatting>
        <x14:conditionalFormatting xmlns:xm="http://schemas.microsoft.com/office/excel/2006/main">
          <x14:cfRule type="iconSet" priority="497" id="{A5D7A63A-A652-43E7-9EC1-38687BE94FB5}">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F65:F71 F63</xm:sqref>
        </x14:conditionalFormatting>
        <x14:conditionalFormatting xmlns:xm="http://schemas.microsoft.com/office/excel/2006/main">
          <x14:cfRule type="iconSet" priority="32" id="{19C367E7-BCB2-4C89-A987-4A456EC3B1C8}">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F45:F46</xm:sqref>
        </x14:conditionalFormatting>
        <x14:conditionalFormatting xmlns:xm="http://schemas.microsoft.com/office/excel/2006/main">
          <x14:cfRule type="iconSet" priority="30" id="{F99E76B3-D0AB-4385-96D7-D8181D57B58F}">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F39:F40</xm:sqref>
        </x14:conditionalFormatting>
        <x14:conditionalFormatting xmlns:xm="http://schemas.microsoft.com/office/excel/2006/main">
          <x14:cfRule type="iconSet" priority="28" id="{FB271108-10CF-4B63-B628-C554252F8E9E}">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F10</xm:sqref>
        </x14:conditionalFormatting>
        <x14:conditionalFormatting xmlns:xm="http://schemas.microsoft.com/office/excel/2006/main">
          <x14:cfRule type="iconSet" priority="26" id="{0C516176-D181-441C-AB5B-3AF5759F8207}">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F11</xm:sqref>
        </x14:conditionalFormatting>
        <x14:conditionalFormatting xmlns:xm="http://schemas.microsoft.com/office/excel/2006/main">
          <x14:cfRule type="iconSet" priority="23" id="{08084180-A813-4241-8F37-CEBCA3F271DD}">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F3 F1</xm:sqref>
        </x14:conditionalFormatting>
        <x14:conditionalFormatting xmlns:xm="http://schemas.microsoft.com/office/excel/2006/main">
          <x14:cfRule type="iconSet" priority="24" id="{FF532336-23F6-4E11-9F6E-211CF1DCB352}">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F2</xm:sqref>
        </x14:conditionalFormatting>
        <x14:conditionalFormatting xmlns:xm="http://schemas.microsoft.com/office/excel/2006/main">
          <x14:cfRule type="iconSet" priority="20" id="{12D0E783-20DC-4D4D-AEF7-25D24F302EB4}">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F64</xm:sqref>
        </x14:conditionalFormatting>
        <x14:conditionalFormatting xmlns:xm="http://schemas.microsoft.com/office/excel/2006/main">
          <x14:cfRule type="iconSet" priority="18" id="{FA357AC6-D66A-4EFB-91A0-CE2D0FCEEC87}">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F57</xm:sqref>
        </x14:conditionalFormatting>
        <x14:conditionalFormatting xmlns:xm="http://schemas.microsoft.com/office/excel/2006/main">
          <x14:cfRule type="iconSet" priority="16" id="{4CDA4D82-089D-4488-B33D-14D2572FC637}">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F48</xm:sqref>
        </x14:conditionalFormatting>
        <x14:conditionalFormatting xmlns:xm="http://schemas.microsoft.com/office/excel/2006/main">
          <x14:cfRule type="iconSet" priority="14" id="{EAE220EF-7431-4A77-B021-28049C9E5D95}">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F33</xm:sqref>
        </x14:conditionalFormatting>
        <x14:conditionalFormatting xmlns:xm="http://schemas.microsoft.com/office/excel/2006/main">
          <x14:cfRule type="iconSet" priority="12" id="{3706D362-2EA7-46A5-AAF8-5041DFBAC68C}">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F25</xm:sqref>
        </x14:conditionalFormatting>
        <x14:conditionalFormatting xmlns:xm="http://schemas.microsoft.com/office/excel/2006/main">
          <x14:cfRule type="iconSet" priority="10" id="{6C17B77A-28A3-4442-BF83-ADD222E5705F}">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F14</xm:sqref>
        </x14:conditionalFormatting>
        <x14:conditionalFormatting xmlns:xm="http://schemas.microsoft.com/office/excel/2006/main">
          <x14:cfRule type="iconSet" priority="8" id="{9367A216-FA39-491D-B8E4-51F1380E591D}">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F16</xm:sqref>
        </x14:conditionalFormatting>
        <x14:conditionalFormatting xmlns:xm="http://schemas.microsoft.com/office/excel/2006/main">
          <x14:cfRule type="iconSet" priority="6" id="{AF2BF8AF-848C-43E6-A188-762C27F8DB5C}">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F18</xm:sqref>
        </x14:conditionalFormatting>
        <x14:conditionalFormatting xmlns:xm="http://schemas.microsoft.com/office/excel/2006/main">
          <x14:cfRule type="iconSet" priority="4" id="{F278E659-AB91-4894-9218-4C26C5D6F5BE}">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F20</xm:sqref>
        </x14:conditionalFormatting>
        <x14:conditionalFormatting xmlns:xm="http://schemas.microsoft.com/office/excel/2006/main">
          <x14:cfRule type="iconSet" priority="2" id="{AC4B6D86-51BF-4AF5-B93F-72DE2C7AB0A5}">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F24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Parameters!$B$18:$B$22</xm:f>
          </x14:formula1>
          <xm:sqref>G26:G31 G49:G55 G58:G62 G66:G71 G34:G46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tabColor theme="2" tint="0.79998168889431442"/>
  </sheetPr>
  <dimension ref="A1:U75"/>
  <sheetViews>
    <sheetView showGridLines="0" zoomScale="80" zoomScaleNormal="80" workbookViewId="0"/>
  </sheetViews>
  <sheetFormatPr defaultColWidth="9.26953125" defaultRowHeight="13.8" x14ac:dyDescent="0.25"/>
  <cols>
    <col min="1" max="2" width="1.6328125" style="187" customWidth="1"/>
    <col min="3" max="3" width="2.6328125" style="187" customWidth="1"/>
    <col min="4" max="4" width="3.1796875" style="341" customWidth="1"/>
    <col min="5" max="5" width="55.6328125" style="187" customWidth="1"/>
    <col min="6" max="6" width="2.6328125" style="327" customWidth="1"/>
    <col min="7" max="7" width="14.6328125" style="314" customWidth="1"/>
    <col min="8" max="8" width="30.6328125" customWidth="1"/>
    <col min="9" max="9" width="20.6328125" customWidth="1"/>
    <col min="10" max="10" width="20.6328125" style="342" customWidth="1"/>
    <col min="11" max="11" width="10.6328125" style="187" customWidth="1"/>
    <col min="12" max="12" width="1.6328125" style="343" customWidth="1"/>
    <col min="13" max="13" width="1.6328125" style="344" customWidth="1"/>
    <col min="14" max="14" width="1.6328125" style="343" customWidth="1"/>
    <col min="15" max="15" width="14.6328125" style="314" customWidth="1"/>
    <col min="16" max="16" width="30.6328125" customWidth="1"/>
    <col min="17" max="17" width="20.6328125" customWidth="1"/>
    <col min="18" max="18" width="20.6328125" style="342" customWidth="1"/>
    <col min="19" max="19" width="10.6328125" style="187" customWidth="1"/>
    <col min="20" max="20" width="1.6328125" style="343" customWidth="1"/>
    <col min="21" max="21" width="1.6328125" style="344" customWidth="1"/>
    <col min="22" max="16384" width="9.26953125" style="187"/>
  </cols>
  <sheetData>
    <row r="1" spans="1:21" s="143" customFormat="1" ht="11.4" x14ac:dyDescent="0.25">
      <c r="A1" s="138"/>
      <c r="B1" s="138"/>
      <c r="C1" s="138"/>
      <c r="D1" s="138"/>
      <c r="E1" s="138"/>
      <c r="F1" s="255"/>
      <c r="G1" s="254"/>
      <c r="H1" s="254"/>
      <c r="I1" s="254"/>
      <c r="J1" s="254"/>
      <c r="K1" s="254"/>
      <c r="L1" s="138"/>
      <c r="M1" s="138"/>
      <c r="N1" s="138"/>
      <c r="O1" s="254"/>
      <c r="P1" s="254"/>
      <c r="Q1" s="254"/>
      <c r="R1" s="254"/>
      <c r="S1" s="254"/>
      <c r="T1" s="138"/>
      <c r="U1" s="138"/>
    </row>
    <row r="2" spans="1:21" s="261" customFormat="1" ht="15" customHeight="1" x14ac:dyDescent="0.2">
      <c r="A2" s="256"/>
      <c r="B2" s="145"/>
      <c r="C2" s="257"/>
      <c r="D2" s="148"/>
      <c r="E2" s="258"/>
      <c r="F2" s="149"/>
      <c r="G2" s="259"/>
      <c r="H2" s="259"/>
      <c r="I2" s="259"/>
      <c r="J2" s="259"/>
      <c r="K2" s="259"/>
      <c r="L2" s="150"/>
      <c r="M2" s="256"/>
      <c r="N2" s="883"/>
      <c r="O2" s="884"/>
      <c r="P2" s="884"/>
      <c r="Q2" s="884"/>
      <c r="R2" s="884"/>
      <c r="S2" s="884"/>
      <c r="T2" s="885"/>
      <c r="U2" s="256"/>
    </row>
    <row r="3" spans="1:21" s="261" customFormat="1" ht="25.05" customHeight="1" x14ac:dyDescent="0.25">
      <c r="A3" s="256"/>
      <c r="B3" s="152"/>
      <c r="C3" s="153" t="s">
        <v>61</v>
      </c>
      <c r="D3" s="154"/>
      <c r="E3" s="436"/>
      <c r="F3" s="155"/>
      <c r="H3" s="272" t="str">
        <f>IF(VLOOKUP("GEN-TOTAL",Languages!$A:$D,1,TRUE)="GEN-TOTAL",VLOOKUP("GEN-TOTAL",Languages!$A:$D,Summary!$C$7,TRUE),NA())</f>
        <v>Kokonaisarvio</v>
      </c>
      <c r="I3" s="156" t="str">
        <f>IF(VLOOKUP("GEN-SEC",Languages!$A:$D,1,TRUE)="GEN-SEC",VLOOKUP("GEN-SEC",Languages!$A:$D,Summary!$C$7,TRUE),NA())</f>
        <v>Tiedon luokittelu</v>
      </c>
      <c r="J3" s="437"/>
      <c r="L3" s="157"/>
      <c r="M3" s="256"/>
      <c r="N3" s="886"/>
      <c r="O3" s="1219" t="str">
        <f>VLOOKUP($C$3,Infoimport!$B$4:$C$14,2,FALSE)</f>
        <v xml:space="preserve">ACCESS, tiedot Infoimport-välilehdeltä
</v>
      </c>
      <c r="P3" s="1219"/>
      <c r="Q3" s="1219"/>
      <c r="R3" s="1219"/>
      <c r="S3" s="1219"/>
      <c r="T3" s="887"/>
      <c r="U3" s="256"/>
    </row>
    <row r="4" spans="1:21" s="322" customFormat="1" ht="25.05" customHeight="1" x14ac:dyDescent="0.3">
      <c r="A4" s="320"/>
      <c r="B4" s="321"/>
      <c r="C4" s="158" t="str">
        <f>IF(VLOOKUP($C$3,Languages!$A:$D,1,TRUE)=$C$3,VLOOKUP($C$3,Languages!$A:$D,Summary!$C$7,TRUE),NA())</f>
        <v>Identiteetin- ja pääsynhallinta (ACCESS)</v>
      </c>
      <c r="D4" s="262"/>
      <c r="E4" s="263"/>
      <c r="F4" s="324"/>
      <c r="G4" s="323"/>
      <c r="H4" s="265" t="str">
        <f ca="1">VLOOKUP(VLOOKUP(CONCATENATE($C$3),Data!$K:$O,5,FALSE),Parameters!$C$7:$F$10,Summary!$C$7,FALSE)</f>
        <v>Kypsyystaso 0</v>
      </c>
      <c r="I4" s="781"/>
      <c r="J4" s="266"/>
      <c r="K4" s="261"/>
      <c r="L4" s="157"/>
      <c r="M4" s="256"/>
      <c r="N4" s="886"/>
      <c r="O4" s="1219"/>
      <c r="P4" s="1219"/>
      <c r="Q4" s="1219"/>
      <c r="R4" s="1219"/>
      <c r="S4" s="1219"/>
      <c r="T4" s="887"/>
      <c r="U4" s="256"/>
    </row>
    <row r="5" spans="1:21" ht="10.050000000000001" customHeight="1" x14ac:dyDescent="0.25">
      <c r="A5" s="181"/>
      <c r="B5" s="312"/>
      <c r="C5" s="325"/>
      <c r="D5" s="326"/>
      <c r="E5" s="326"/>
      <c r="F5" s="265"/>
      <c r="G5" s="265"/>
      <c r="I5" s="266"/>
      <c r="J5" s="266"/>
      <c r="K5" s="261"/>
      <c r="L5" s="157"/>
      <c r="M5" s="256"/>
      <c r="N5" s="886"/>
      <c r="O5" s="1219"/>
      <c r="P5" s="1219"/>
      <c r="Q5" s="1219"/>
      <c r="R5" s="1219"/>
      <c r="S5" s="1219"/>
      <c r="T5" s="887"/>
      <c r="U5" s="256"/>
    </row>
    <row r="6" spans="1:21" ht="90" customHeight="1" x14ac:dyDescent="0.2">
      <c r="A6" s="181"/>
      <c r="B6" s="312"/>
      <c r="C6" s="1216" t="str">
        <f>IF(VLOOKUP(CONCATENATE(C3,"-0"),Languages!$A:$D,1,TRUE)=CONCATENATE(C3,"-0"),VLOOKUP(CONCATENATE(C3,"-0"),Languages!$A:$D,Summary!$C$7,TRUE),NA())</f>
        <v>Identiteetin ja pääsynhallinnan osiossa arvioidaan organisaation kykyä hallita ja rajoittaa loogista ja fyysistä pääsyä organisaation omaisuuteen. Pääsyä tulee hallita suhteessa organisaation kohdistuviin riskeihin ja organisaation tavoitteisiin. Tässä yhteydessä loogisen pääsynhallinnan suojausmekanismeja sovelletaan toiminnon kannalta tärkeisiin laitteisiin, ohjelmistoihin ja tietoon ja fyysisen pääsynhallinnan suojausmekanismeja sovelletaan toiminnon kannalta tärkeisiin laitteisiin ja tiloihin. Automatisoituja suojausmekanismeja sovelletaan sekä loogisen että fyysisen pääsynhallinnan yhteydessä. Heikko pääsynhallinta voi johtaa laitteiden, ohjelmistojen tai tiedon luvattomaan käyttöön, julkistamiseen, tuhoamiseen tai peukalointiin. Lisäksi se nostaa tarpeettomasti organisaation riskitasoa.</v>
      </c>
      <c r="D6" s="1216"/>
      <c r="E6" s="1216"/>
      <c r="F6" s="1216"/>
      <c r="G6" s="1216"/>
      <c r="H6" s="1216"/>
      <c r="I6" s="1216"/>
      <c r="J6" s="1216"/>
      <c r="K6" s="1216"/>
      <c r="L6" s="157"/>
      <c r="M6" s="256"/>
      <c r="N6" s="886"/>
      <c r="O6" s="1219"/>
      <c r="P6" s="1219"/>
      <c r="Q6" s="1219"/>
      <c r="R6" s="1219"/>
      <c r="S6" s="1219"/>
      <c r="T6" s="887"/>
      <c r="U6" s="256"/>
    </row>
    <row r="7" spans="1:21" ht="14.4" customHeight="1" x14ac:dyDescent="0.2">
      <c r="A7" s="181"/>
      <c r="B7" s="312"/>
      <c r="C7" s="268">
        <v>1</v>
      </c>
      <c r="D7" s="269" t="s">
        <v>1</v>
      </c>
      <c r="E7" s="270" t="str">
        <f>IF(VLOOKUP(CONCATENATE($C$3,"-",C7),Languages!$A:$D,1,TRUE)=CONCATENATE($C$3,"-",C7),VLOOKUP(CONCATENATE($C$3,"-",C7),Languages!$A:$D,Summary!$C$7,TRUE),NA())</f>
        <v>Identiteettien luominen ja hallinta</v>
      </c>
      <c r="H7" s="271" t="str">
        <f ca="1">VLOOKUP(VLOOKUP(CONCATENATE($C$3,"-",$C7),Data!$K:$O,5,FALSE),Parameters!$C$7:$F$10,Summary!$C$7,FALSE)</f>
        <v>Kypsyystaso 0</v>
      </c>
      <c r="I7" s="505" t="str">
        <f>IF(VLOOKUP("KM110",Languages!$A:$D,1,TRUE)="KM110",VLOOKUP("KM110",Languages!$A:$D,Summary!$C$7,TRUE),NA())</f>
        <v>Päivämäärä</v>
      </c>
      <c r="J7" s="479"/>
      <c r="K7" s="261"/>
      <c r="L7" s="157"/>
      <c r="M7" s="256"/>
      <c r="N7" s="886"/>
      <c r="O7" s="1219"/>
      <c r="P7" s="1219"/>
      <c r="Q7" s="1219"/>
      <c r="R7" s="1219"/>
      <c r="S7" s="1219"/>
      <c r="T7" s="887"/>
      <c r="U7" s="256"/>
    </row>
    <row r="8" spans="1:21" ht="14.4" customHeight="1" x14ac:dyDescent="0.25">
      <c r="A8" s="181"/>
      <c r="B8" s="312"/>
      <c r="C8" s="268">
        <v>2</v>
      </c>
      <c r="D8" s="269" t="s">
        <v>1</v>
      </c>
      <c r="E8" s="270" t="str">
        <f>IF(VLOOKUP(CONCATENATE($C$3,"-",C8),Languages!$A:$D,1,TRUE)=CONCATENATE($C$3,"-",C8),VLOOKUP(CONCATENATE($C$3,"-",C8),Languages!$A:$D,Summary!$C$7,TRUE),NA())</f>
        <v>Loogisten käyttöoikeuksien hallinta</v>
      </c>
      <c r="F8" s="328"/>
      <c r="H8" s="271" t="str">
        <f ca="1">VLOOKUP(VLOOKUP(CONCATENATE($C$3,"-",$C8),Data!$K:$O,5,FALSE),Parameters!$C$7:$F$10,Summary!$C$7,FALSE)</f>
        <v>Kypsyystaso 0</v>
      </c>
      <c r="I8" s="1217"/>
      <c r="J8" s="1218"/>
      <c r="K8" s="261"/>
      <c r="L8" s="157"/>
      <c r="M8" s="256"/>
      <c r="N8" s="886"/>
      <c r="O8" s="1219"/>
      <c r="P8" s="1219"/>
      <c r="Q8" s="1219"/>
      <c r="R8" s="1219"/>
      <c r="S8" s="1219"/>
      <c r="T8" s="887"/>
      <c r="U8" s="256"/>
    </row>
    <row r="9" spans="1:21" ht="14.4" customHeight="1" x14ac:dyDescent="0.2">
      <c r="A9" s="181"/>
      <c r="B9" s="312"/>
      <c r="C9" s="268">
        <v>3</v>
      </c>
      <c r="D9" s="269" t="s">
        <v>1</v>
      </c>
      <c r="E9" s="270" t="str">
        <f>IF(VLOOKUP(CONCATENATE($C$3,"-",C9),Languages!$A:$D,1,TRUE)=CONCATENATE($C$3,"-",C9),VLOOKUP(CONCATENATE($C$3,"-",C9),Languages!$A:$D,Summary!$C$7,TRUE),NA())</f>
        <v>Fyysinen pääsynhallinta</v>
      </c>
      <c r="F9" s="329"/>
      <c r="H9" s="271" t="str">
        <f ca="1">VLOOKUP(VLOOKUP(CONCATENATE($C$3,"-",$C9),Data!$K:$O,5,FALSE),Parameters!$C$7:$F$10,Summary!$C$7,FALSE)</f>
        <v>Kypsyystaso 0</v>
      </c>
      <c r="I9" s="505" t="str">
        <f>IF(VLOOKUP("KM111",Languages!$A:$D,1,TRUE)="KM111",VLOOKUP("KM111",Languages!$A:$D,Summary!$C$7,TRUE),NA())</f>
        <v>Osallistujat</v>
      </c>
      <c r="J9" s="479"/>
      <c r="K9" s="261"/>
      <c r="L9" s="157"/>
      <c r="M9" s="256"/>
      <c r="N9" s="886"/>
      <c r="O9" s="1219"/>
      <c r="P9" s="1219"/>
      <c r="Q9" s="1219"/>
      <c r="R9" s="1219"/>
      <c r="S9" s="1219"/>
      <c r="T9" s="887"/>
      <c r="U9" s="256"/>
    </row>
    <row r="10" spans="1:21" ht="14.4" customHeight="1" x14ac:dyDescent="0.2">
      <c r="A10" s="181"/>
      <c r="B10" s="312"/>
      <c r="C10" s="268">
        <v>4</v>
      </c>
      <c r="D10" s="269" t="s">
        <v>1</v>
      </c>
      <c r="E10" s="270" t="str">
        <f>IF(VLOOKUP(CONCATENATE($C$3,"-",C10),Languages!$A:$D,1,TRUE)=CONCATENATE($C$3,"-",C10),VLOOKUP(CONCATENATE($C$3,"-",C10),Languages!$A:$D,Summary!$C$7,TRUE),NA())</f>
        <v>Yleisiä hallintatoimia</v>
      </c>
      <c r="F10" s="329"/>
      <c r="H10" s="271" t="str">
        <f ca="1">VLOOKUP(VLOOKUP(CONCATENATE($C$3,"-",$C10),Data!$K:$O,5,FALSE),Parameters!$C$7:$F$10,Summary!$C$7,FALSE)</f>
        <v>Kypsyystaso 1</v>
      </c>
      <c r="I10" s="1208"/>
      <c r="J10" s="1209"/>
      <c r="K10" s="261"/>
      <c r="L10" s="157"/>
      <c r="M10" s="256"/>
      <c r="N10" s="886"/>
      <c r="O10" s="1219"/>
      <c r="P10" s="1219"/>
      <c r="Q10" s="1219"/>
      <c r="R10" s="1219"/>
      <c r="S10" s="1219"/>
      <c r="T10" s="887"/>
      <c r="U10" s="256"/>
    </row>
    <row r="11" spans="1:21" ht="14.4" customHeight="1" x14ac:dyDescent="0.2">
      <c r="A11" s="181"/>
      <c r="B11" s="312"/>
      <c r="C11" s="268"/>
      <c r="D11" s="269"/>
      <c r="E11" s="270"/>
      <c r="F11" s="329"/>
      <c r="H11" s="271"/>
      <c r="I11" s="1210"/>
      <c r="J11" s="1211"/>
      <c r="K11" s="261"/>
      <c r="L11" s="157"/>
      <c r="M11" s="256"/>
      <c r="N11" s="886"/>
      <c r="O11" s="1219"/>
      <c r="P11" s="1219"/>
      <c r="Q11" s="1219"/>
      <c r="R11" s="1219"/>
      <c r="S11" s="1219"/>
      <c r="T11" s="887"/>
      <c r="U11" s="256"/>
    </row>
    <row r="12" spans="1:21" s="180" customFormat="1" ht="30" customHeight="1" x14ac:dyDescent="0.25">
      <c r="A12" s="169"/>
      <c r="B12" s="273"/>
      <c r="C12" s="173">
        <v>1</v>
      </c>
      <c r="D12" s="173" t="str">
        <f>IF(VLOOKUP(CONCATENATE($C$3,"-",C12),Languages!$A:$D,1,TRUE)=CONCATENATE($C$3,"-",C12),VLOOKUP(CONCATENATE($C$3,"-",C12),Languages!$A:$D,Summary!$C$7,TRUE),NA())</f>
        <v>Identiteettien luominen ja hallinta</v>
      </c>
      <c r="E12" s="173"/>
      <c r="F12" s="275"/>
      <c r="G12" s="275"/>
      <c r="H12" s="276"/>
      <c r="I12" s="276"/>
      <c r="J12" s="276"/>
      <c r="K12" s="276"/>
      <c r="L12" s="157"/>
      <c r="M12" s="256"/>
      <c r="N12" s="886"/>
      <c r="O12" s="1219"/>
      <c r="P12" s="1219"/>
      <c r="Q12" s="1219"/>
      <c r="R12" s="1219"/>
      <c r="S12" s="1219"/>
      <c r="T12" s="887"/>
      <c r="U12" s="256"/>
    </row>
    <row r="13" spans="1:21" s="282" customFormat="1" ht="49.95" customHeight="1" x14ac:dyDescent="0.2">
      <c r="A13" s="279"/>
      <c r="B13" s="280"/>
      <c r="C13" s="1223" t="str">
        <f>IF(VLOOKUP(CONCATENATE($C$3,"-",$C12,"-0"),Languages!$A:$D,1,TRUE)=CONCATENATE($C$3,"-",$C12,"-0"),VLOOKUP(CONCATENATE($C$3,"-",$C12,"-0"),Languages!$A:$D,Summary!$C$7,TRUE),NA())</f>
        <v>Identiteetinhallinta lähtee siitä, että toimijoille luodaan identiteetit, jotka poistetaan käytöstä, kun niitä ei enää tarvita. Toimijoita voivat olla henkilöt (organisaation omat työntekijät tai organisaation ulkopuoliset henkilöt) yhtä hyvin kuin laitteet, järjestelmät tai prosessit, joilla on tarve saada pääsy suojattaviin kohteisiin. Identiteettien ylläpitoon kuuluu identiteettien jäljitettävyys (ts. identiteettien oikeellisuuden ja ajantasaisuuden varmistaminen) sekä niiden poistaminen käytöstä. Jaettujen identiteettien käyttö voi vaatia lisätoimia riittävän turvallisuustason takaamiseksi.</v>
      </c>
      <c r="D13" s="1223"/>
      <c r="E13" s="1223"/>
      <c r="F13" s="1223"/>
      <c r="G13" s="1223"/>
      <c r="H13" s="1223"/>
      <c r="I13" s="1223"/>
      <c r="J13" s="1223"/>
      <c r="K13" s="1223"/>
      <c r="L13" s="157"/>
      <c r="M13" s="256"/>
      <c r="N13" s="886"/>
      <c r="O13" s="1219"/>
      <c r="P13" s="1219"/>
      <c r="Q13" s="1219"/>
      <c r="R13" s="1219"/>
      <c r="S13" s="1219"/>
      <c r="T13" s="887"/>
      <c r="U13" s="256"/>
    </row>
    <row r="14" spans="1:21" s="180" customFormat="1" ht="30" customHeight="1" x14ac:dyDescent="0.25">
      <c r="A14" s="169"/>
      <c r="B14" s="273"/>
      <c r="C14" s="173">
        <v>2</v>
      </c>
      <c r="D14" s="173" t="str">
        <f>IF(VLOOKUP(CONCATENATE($C$3,"-",C14),Languages!$A:$D,1,TRUE)=CONCATENATE($C$3,"-",C14),VLOOKUP(CONCATENATE($C$3,"-",C14),Languages!$A:$D,Summary!$C$7,TRUE),NA())</f>
        <v>Loogisten käyttöoikeuksien hallinta</v>
      </c>
      <c r="E14" s="173"/>
      <c r="F14" s="296"/>
      <c r="G14" s="296" t="s">
        <v>16</v>
      </c>
      <c r="H14" s="297"/>
      <c r="I14" s="297"/>
      <c r="J14" s="297"/>
      <c r="K14" s="297"/>
      <c r="L14" s="157"/>
      <c r="M14" s="256"/>
      <c r="N14" s="886"/>
      <c r="O14" s="1219"/>
      <c r="P14" s="1219"/>
      <c r="Q14" s="1219"/>
      <c r="R14" s="1219"/>
      <c r="S14" s="1219"/>
      <c r="T14" s="887"/>
      <c r="U14" s="256"/>
    </row>
    <row r="15" spans="1:21" s="282" customFormat="1" ht="75" customHeight="1" x14ac:dyDescent="0.2">
      <c r="A15" s="279"/>
      <c r="B15" s="280"/>
      <c r="C15" s="1223" t="str">
        <f>IF(VLOOKUP(CONCATENATE($C$3,"-",$C14,"-0"),Languages!$A:$D,1,TRUE)=CONCATENATE($C$3,"-",$C14,"-0"),VLOOKUP(CONCATENATE($C$3,"-",$C14,"-0"),Languages!$A:$D,Summary!$C$7,TRUE),NA())</f>
        <v>Looginen (tietojärjestelmien) pääsynhallinta kattaa käyttöoikeusvaatimusten määrittelyn sekä oikeuksien myöntämisen ja käytöstä poiston asetettujen vaatimusten mukaisesti. Käyttöoikeusvaatimukset yhdistetään omaisuuteen kuten laitteeseen, ohjelmistoon tai tietoon ja vaatimukset määräävät mm. minkä tyyppiset toimijat voivat saada pääsyn kohteeseen, missä rajoissa pääsy sallitaan tai onko tunnistetiedoille kuten salasanoille asetettu tiettyjä vaatimuksia. Ulkopuoliselle toimittajalle voidaan sallia pääsy esimerkiksi vain ennalta määrättyjen huoltoikkunoiden aikaan ja käyttäen vahvaa tunnistautumista. Korkeammilla kypsyyden tasoilla vaaditaan tarkempaa käyttöoikeuksien valvontaa: käyttöoikeudet myönnetään vasta kun on huomioitu toiminnan osa-alueeseen kohdistuvat riskit, minkä lisäksi käyttöoikeudet katselmoidaan säännöllisesti.</v>
      </c>
      <c r="D15" s="1223"/>
      <c r="E15" s="1223"/>
      <c r="F15" s="1223"/>
      <c r="G15" s="1223"/>
      <c r="H15" s="1223"/>
      <c r="I15" s="1223"/>
      <c r="J15" s="1223"/>
      <c r="K15" s="1223"/>
      <c r="L15" s="157"/>
      <c r="M15" s="256"/>
      <c r="N15" s="886"/>
      <c r="O15" s="1219"/>
      <c r="P15" s="1219"/>
      <c r="Q15" s="1219"/>
      <c r="R15" s="1219"/>
      <c r="S15" s="1219"/>
      <c r="T15" s="887"/>
      <c r="U15" s="256"/>
    </row>
    <row r="16" spans="1:21" s="180" customFormat="1" ht="30" customHeight="1" x14ac:dyDescent="0.25">
      <c r="A16" s="169"/>
      <c r="B16" s="273"/>
      <c r="C16" s="173">
        <v>3</v>
      </c>
      <c r="D16" s="173" t="str">
        <f>IF(VLOOKUP(CONCATENATE($C$3,"-",C16),Languages!$A:$D,1,TRUE)=CONCATENATE($C$3,"-",C16),VLOOKUP(CONCATENATE($C$3,"-",C16),Languages!$A:$D,Summary!$C$7,TRUE),NA())</f>
        <v>Fyysinen pääsynhallinta</v>
      </c>
      <c r="E16" s="173"/>
      <c r="F16" s="296"/>
      <c r="G16" s="296" t="s">
        <v>16</v>
      </c>
      <c r="H16" s="297"/>
      <c r="I16" s="297"/>
      <c r="J16" s="297"/>
      <c r="K16" s="297"/>
      <c r="L16" s="157"/>
      <c r="M16" s="256"/>
      <c r="N16" s="886"/>
      <c r="O16" s="1219"/>
      <c r="P16" s="1219"/>
      <c r="Q16" s="1219"/>
      <c r="R16" s="1219"/>
      <c r="S16" s="1219"/>
      <c r="T16" s="887"/>
      <c r="U16" s="256"/>
    </row>
    <row r="17" spans="1:21" s="282" customFormat="1" ht="75" customHeight="1" x14ac:dyDescent="0.2">
      <c r="A17" s="279"/>
      <c r="B17" s="280"/>
      <c r="C17" s="1223" t="str">
        <f>IF(VLOOKUP(CONCATENATE($C$3,"-",$C16,"-0"),Languages!$A:$D,1,TRUE)=CONCATENATE($C$3,"-",$C16,"-0"),VLOOKUP(CONCATENATE($C$3,"-",$C16,"-0"),Languages!$A:$D,Summary!$C$7,TRUE),NA())</f>
        <v>Fyysinen pääsynhallinta kattaa pääsyoikeusvaatimusten määrittelyn sekä oikeuksien myöntämisen ja käytöstä poiston asetettujen vaatimusten mukaisesti. Pääsyoikeusvaatimukset yhdistetään fyysiseen pääsyyn tilaan, jossa on omaisuutta kuten tietomateriaalia, laitteita tai tietoverkkokaapelointeja. Vaatimukset määräävät mm. minkä tyyppiset toimijat voivat saada pääsyn kohteeseen, missä rajoissa pääsy sallitaan tai onko tunnistautumiskeinolle (avain, avainkortti, biometriikka, PIN, jne.) asetettu tiettyjä vaatimuksia. Ulkopuoliselle toimittajalle voidaan sallia pääsy esimerkiksi vain ennalta määrättyjen huoltoikkunoiden aikaan tai muun aikarajoituksen perusteella. Korkeammilla kypsyyden tasoilla vaaditaan tarkempaa käyttöoikeuksien valvontaa: pääsyoikeudet myönnetään vasta kun on huomioitu toiminnan osa-alueeseen kohdistuvat riskit, minkä lisäksi pääsyoikeudet katselmoidaan säännöllisesti.</v>
      </c>
      <c r="D17" s="1223"/>
      <c r="E17" s="1223"/>
      <c r="F17" s="1223"/>
      <c r="G17" s="1223"/>
      <c r="H17" s="1223"/>
      <c r="I17" s="1223"/>
      <c r="J17" s="1223"/>
      <c r="K17" s="1223"/>
      <c r="L17" s="157"/>
      <c r="M17" s="256"/>
      <c r="N17" s="886"/>
      <c r="O17" s="1219"/>
      <c r="P17" s="1219"/>
      <c r="Q17" s="1219"/>
      <c r="R17" s="1219"/>
      <c r="S17" s="1219"/>
      <c r="T17" s="887"/>
      <c r="U17" s="256"/>
    </row>
    <row r="18" spans="1:21" s="180" customFormat="1" ht="30" customHeight="1" x14ac:dyDescent="0.25">
      <c r="A18" s="169"/>
      <c r="B18" s="273"/>
      <c r="C18" s="173">
        <v>4</v>
      </c>
      <c r="D18" s="173" t="str">
        <f>IF(VLOOKUP(CONCATENATE($C$3,"-",C18),Languages!$A:$D,1,TRUE)=CONCATENATE($C$3,"-",C18),VLOOKUP(CONCATENATE($C$3,"-",C18),Languages!$A:$D,Summary!$C$7,TRUE),NA())</f>
        <v>Yleisiä hallintatoimia</v>
      </c>
      <c r="E18" s="173"/>
      <c r="F18" s="296"/>
      <c r="G18" s="296" t="s">
        <v>16</v>
      </c>
      <c r="H18" s="297"/>
      <c r="I18" s="297"/>
      <c r="J18" s="297"/>
      <c r="K18" s="297"/>
      <c r="L18" s="157"/>
      <c r="M18" s="256"/>
      <c r="N18" s="886"/>
      <c r="O18" s="1219"/>
      <c r="P18" s="1219"/>
      <c r="Q18" s="1219"/>
      <c r="R18" s="1219"/>
      <c r="S18" s="1219"/>
      <c r="T18" s="887"/>
      <c r="U18" s="256"/>
    </row>
    <row r="19" spans="1:21" s="282" customFormat="1" ht="49.2" customHeight="1" x14ac:dyDescent="0.2">
      <c r="A19" s="309"/>
      <c r="B19" s="310"/>
      <c r="C19" s="1223" t="str">
        <f>IF(VLOOKUP(CONCATENATE($C$3,"-",$C18,"-0"),Languages!$A:$D,1,TRUE)=CONCATENATE($C$3,"-",$C18,"-0"),VLOOKUP(CONCATENATE($C$3,"-",$C18,"-0"),Languages!$A:$D,Summary!$C$7,TRUE),NA())</f>
        <v>Yleisillä hallintatoimilla arvioidaan sitä, kuinka syvällisesti osion kyberturvallisuuskäytännöt ovat juurtuneet osaksi organisaation toimintaa. Mitä syvemmin käytännöt ovat osa organisaation päivittäistä tekemistä sitä todennäköisempää on, että organisaatio noudattaa niitä myös kriisitilanteissa ja ajan kuluessa. Toisin sanoen, toiminta säilyy säännöllisenä, toistettavana ja korkealaatuisena.</v>
      </c>
      <c r="D19" s="1223"/>
      <c r="E19" s="1223"/>
      <c r="F19" s="1223"/>
      <c r="G19" s="1223"/>
      <c r="H19" s="1223"/>
      <c r="I19" s="1223"/>
      <c r="J19" s="1223"/>
      <c r="K19" s="1223"/>
      <c r="L19" s="157"/>
      <c r="M19" s="256"/>
      <c r="N19" s="888"/>
      <c r="O19" s="1220"/>
      <c r="P19" s="1220"/>
      <c r="Q19" s="1220"/>
      <c r="R19" s="1220"/>
      <c r="S19" s="1220"/>
      <c r="T19" s="889"/>
      <c r="U19" s="256"/>
    </row>
    <row r="20" spans="1:21" s="282" customFormat="1" ht="18" customHeight="1" x14ac:dyDescent="0.25">
      <c r="A20" s="309"/>
      <c r="B20" s="734"/>
      <c r="C20" s="734"/>
      <c r="D20" s="734"/>
      <c r="E20" s="734"/>
      <c r="F20" s="734"/>
      <c r="G20" s="734"/>
      <c r="H20" s="734"/>
      <c r="I20" s="734"/>
      <c r="J20" s="734"/>
      <c r="K20" s="734"/>
      <c r="L20" s="735"/>
      <c r="M20" s="138"/>
      <c r="N20" s="138"/>
      <c r="O20" s="255"/>
      <c r="P20" s="254"/>
      <c r="Q20" s="855"/>
      <c r="R20" s="254"/>
      <c r="S20" s="254"/>
      <c r="T20" s="138"/>
      <c r="U20" s="138"/>
    </row>
    <row r="21" spans="1:21" s="282" customFormat="1" ht="19.95" customHeight="1" x14ac:dyDescent="0.2">
      <c r="A21" s="309"/>
      <c r="B21" s="723"/>
      <c r="C21" s="721"/>
      <c r="D21" s="721"/>
      <c r="E21" s="721"/>
      <c r="F21" s="721"/>
      <c r="G21" s="721"/>
      <c r="H21" s="721"/>
      <c r="I21" s="721"/>
      <c r="J21" s="721"/>
      <c r="K21" s="721"/>
      <c r="L21" s="722"/>
      <c r="M21" s="256"/>
      <c r="N21" s="504" t="str">
        <f>IF(VLOOKUP("KM116",Languages!$A:$D,1,TRUE)="KM116",VLOOKUP("KM116",Languages!$A:$D,Summary!$C$7,TRUE),NA())</f>
        <v>EDELLINEN ARVIOINTI</v>
      </c>
      <c r="O21" s="442"/>
      <c r="P21" s="259"/>
      <c r="Q21" s="856" t="str">
        <f>IF(VLOOKUP("KM110",Languages!$A:$D,1,TRUE)="KM110",VLOOKUP("KM110",Languages!$A:$D,Summary!$C$7,TRUE),NA())</f>
        <v>Päivämäärä</v>
      </c>
      <c r="R21" s="259"/>
      <c r="S21" s="259"/>
      <c r="T21" s="150"/>
      <c r="U21" s="256"/>
    </row>
    <row r="22" spans="1:21" s="180" customFormat="1" ht="19.95" customHeight="1" x14ac:dyDescent="0.25">
      <c r="A22" s="169"/>
      <c r="B22" s="273"/>
      <c r="C22" s="173">
        <v>1</v>
      </c>
      <c r="D22" s="173" t="str">
        <f>IF(VLOOKUP(CONCATENATE($C$3,"-",C22),Languages!$A:$D,1,TRUE)=CONCATENATE($C$3,"-",C22),VLOOKUP(CONCATENATE($C$3,"-",C22),Languages!$A:$D,Summary!$C$7,TRUE),NA())</f>
        <v>Identiteettien luominen ja hallinta</v>
      </c>
      <c r="E22" s="173"/>
      <c r="F22" s="275"/>
      <c r="G22" s="275"/>
      <c r="H22" s="276"/>
      <c r="I22" s="276"/>
      <c r="J22" s="276"/>
      <c r="K22" s="276"/>
      <c r="L22" s="157"/>
      <c r="M22" s="309"/>
      <c r="N22" s="310"/>
      <c r="O22" s="443"/>
      <c r="P22" s="438"/>
      <c r="Q22" s="781"/>
      <c r="R22" s="854"/>
      <c r="S22" s="854"/>
      <c r="T22" s="281"/>
      <c r="U22" s="309"/>
    </row>
    <row r="23" spans="1:21" s="289" customFormat="1" ht="19.95" customHeight="1" x14ac:dyDescent="0.2">
      <c r="A23" s="308"/>
      <c r="B23" s="283"/>
      <c r="C23" s="284" t="str">
        <f>IF(VLOOKUP("GEN-LEVEL",Languages!$A:$D,1,TRUE)="GEN-LEVEL",VLOOKUP("GEN-LEVEL",Languages!$A:$D,Summary!$C$7,TRUE),NA())</f>
        <v>Taso</v>
      </c>
      <c r="D23" s="284"/>
      <c r="E23" s="285" t="str">
        <f>IF(VLOOKUP("GEN-PRACTICE",Languages!$A:$D,1,TRUE)="GEN-PRACTICE",VLOOKUP("GEN-PRACTICE",Languages!$A:$D,Summary!$C$7,TRUE),NA())</f>
        <v>Käytäntö</v>
      </c>
      <c r="F23" s="286"/>
      <c r="G23" s="1003" t="str">
        <f>IF(VLOOKUP("GEN-ANSWER",Languages!$A:$D,1,TRUE)="GEN-ANSWER",VLOOKUP("GEN-ANSWER",Languages!$A:$D,Summary!$C$7,TRUE),NA())</f>
        <v>Vastaus</v>
      </c>
      <c r="H23" s="1004" t="str">
        <f>IF(VLOOKUP("KM112",Languages!$A:$D,1,TRUE)="KM112",VLOOKUP("KM112",Languages!$A:$D,Summary!$C$7,TRUE),NA())</f>
        <v>Kommentit</v>
      </c>
      <c r="I23" s="1004" t="str">
        <f>IF(VLOOKUP("KM113",Languages!$A:$D,1,TRUE)="KM113",VLOOKUP("KM113",Languages!$A:$D,Summary!$C$7,TRUE),NA())</f>
        <v>Sisäinen viittaus</v>
      </c>
      <c r="J23" s="1004" t="str">
        <f>IF(VLOOKUP("KM114",Languages!$A:$D,1,TRUE)="KM114",VLOOKUP("KM114",Languages!$A:$D,Summary!$C$7,TRUE),NA())</f>
        <v>Ulkoinen viittaus</v>
      </c>
      <c r="K23" s="1004" t="str">
        <f>IF(VLOOKUP("KM115",Languages!$A:$D,1,TRUE)="KM115",VLOOKUP("KM115",Languages!$A:$D,Summary!$C$7,TRUE),NA())</f>
        <v>Kehityskohde</v>
      </c>
      <c r="L23" s="287"/>
      <c r="M23" s="288"/>
      <c r="N23" s="283"/>
      <c r="O23" s="503" t="str">
        <f>IF(VLOOKUP("GEN-ANSWER",Languages!$A:$D,1,TRUE)="GEN-ANSWER",VLOOKUP("GEN-ANSWER",Languages!$A:$D,Summary!$C$7,TRUE),NA())</f>
        <v>Vastaus</v>
      </c>
      <c r="P23" s="503" t="str">
        <f>IF(VLOOKUP("KM112",Languages!$A:$D,1,TRUE)="KM112",VLOOKUP("KM112",Languages!$A:$D,Summary!$C$7,TRUE),NA())</f>
        <v>Kommentit</v>
      </c>
      <c r="Q23" s="503" t="str">
        <f>IF(VLOOKUP("KM113",Languages!$A:$D,1,TRUE)="KM113",VLOOKUP("KM113",Languages!$A:$D,Summary!$C$7,TRUE),NA())</f>
        <v>Sisäinen viittaus</v>
      </c>
      <c r="R23" s="503" t="str">
        <f>IF(VLOOKUP("KM114",Languages!$A:$D,1,TRUE)="KM114",VLOOKUP("KM114",Languages!$A:$D,Summary!$C$7,TRUE),NA())</f>
        <v>Ulkoinen viittaus</v>
      </c>
      <c r="S23" s="503" t="str">
        <f>IF(VLOOKUP("KM115",Languages!$A:$D,1,TRUE)="KM115",VLOOKUP("KM115",Languages!$A:$D,Summary!$C$7,TRUE),NA())</f>
        <v>Kehityskohde</v>
      </c>
      <c r="T23" s="287"/>
      <c r="U23" s="288"/>
    </row>
    <row r="24" spans="1:21" s="293" customFormat="1" ht="85.2" customHeight="1" x14ac:dyDescent="0.2">
      <c r="A24" s="279"/>
      <c r="B24" s="1204"/>
      <c r="C24" s="1248">
        <v>1</v>
      </c>
      <c r="D24" s="397" t="s">
        <v>5</v>
      </c>
      <c r="E24" s="507" t="str">
        <f>IF(VLOOKUP(CONCATENATE($C$3,"-",$D24),Languages!$A:$D,1,TRUE)=CONCATENATE($C$3,"-",$D24),VLOOKUP(CONCATENATE($C$3,"-",$D24),Languages!$A:$D,Summary!$C$7,TRUE),NA())</f>
        <v>Työntekijöille ja muille entiteeteille (kuten prosesseille tai laitteille, jotka tarvitsevat pääsyn toimintoon kuuluviin laitteisiin, ohjelmistoihin tai tietovarantoihin) osoitetaan erilliset identiteetit. (Huom. tällä vaatimuksella ei kuitenkaan rajoiteta jaettujen identiteettien käyttöä). Tasolla 1 tämän ei tarvitse olla systemaattista ja säännöllistä.</v>
      </c>
      <c r="F24" s="396">
        <f t="shared" ref="F24:F29" si="0">IFERROR(INT(LEFT($G24,1)),0)</f>
        <v>0</v>
      </c>
      <c r="G24" s="485"/>
      <c r="H24" s="486"/>
      <c r="I24" s="486"/>
      <c r="J24" s="486"/>
      <c r="K24" s="487"/>
      <c r="L24" s="157"/>
      <c r="M24" s="256"/>
      <c r="N24" s="152"/>
      <c r="O24" s="988" t="str">
        <f>VLOOKUP(VLOOKUP($C$3&amp;"-"&amp;$D24,Import!$C:$D,2,FALSE),Parameters!$C$18:$F$22,Summary!$C$7,FALSE)</f>
        <v xml:space="preserve">0 - Vastaus puuttuu </v>
      </c>
      <c r="P24" s="1032" t="str">
        <f>IF(VLOOKUP($C$3&amp;"-"&amp;$D24,Import!$C:$H,3,FALSE)=0,"",VLOOKUP($C$3&amp;"-"&amp;$D24,Import!$C:$H,3,FALSE))</f>
        <v/>
      </c>
      <c r="Q24" s="1032" t="str">
        <f>IF(VLOOKUP($C$3&amp;"-"&amp;$D24,Import!$C:$H,4,FALSE)=0,"",VLOOKUP($C$3&amp;"-"&amp;$D24,Import!$C:$H,4,FALSE))</f>
        <v/>
      </c>
      <c r="R24" s="1036" t="str">
        <f>IF(VLOOKUP($C$3&amp;"-"&amp;$D24,Import!$C:$H,5,FALSE)=0,"",VLOOKUP($C$3&amp;"-"&amp;$D24,Import!$C:$H,5,FALSE))</f>
        <v/>
      </c>
      <c r="S24" s="1033" t="str">
        <f>IF(VLOOKUP($C$3&amp;"-"&amp;$D24,Import!$C:$H,6,FALSE)=0,"",VLOOKUP($C$3&amp;"-"&amp;$D24,Import!$C:$H,6,FALSE))</f>
        <v/>
      </c>
      <c r="T24" s="157"/>
      <c r="U24" s="256"/>
    </row>
    <row r="25" spans="1:21" s="293" customFormat="1" ht="45" customHeight="1" x14ac:dyDescent="0.2">
      <c r="A25" s="279"/>
      <c r="B25" s="1204"/>
      <c r="C25" s="1249"/>
      <c r="D25" s="290" t="s">
        <v>7</v>
      </c>
      <c r="E25" s="508" t="str">
        <f>IF(VLOOKUP(CONCATENATE($C$3,"-",$D25),Languages!$A:$D,1,TRUE)=CONCATENATE($C$3,"-",$D25),VLOOKUP(CONCATENATE($C$3,"-",$D25),Languages!$A:$D,Summary!$C$7,TRUE),NA())</f>
        <v>Työntekijöille ja muille entiteeteille jaetaan pääsyvaltuustiedot (kuten salasanat, älykortit tai avaimet). Tasolla 1 tämän ei tarvitse olla systemaattista ja säännöllistä.</v>
      </c>
      <c r="F25" s="291">
        <f t="shared" si="0"/>
        <v>0</v>
      </c>
      <c r="G25" s="311"/>
      <c r="H25" s="480"/>
      <c r="I25" s="480"/>
      <c r="J25" s="480"/>
      <c r="K25" s="488"/>
      <c r="L25" s="157"/>
      <c r="M25" s="256"/>
      <c r="N25" s="152"/>
      <c r="O25" s="991" t="str">
        <f>VLOOKUP(VLOOKUP($C$3&amp;"-"&amp;$D25,Import!$C:$D,2,FALSE),Parameters!$C$18:$F$22,Summary!$C$7,FALSE)</f>
        <v xml:space="preserve">0 - Vastaus puuttuu </v>
      </c>
      <c r="P25" s="1015" t="str">
        <f>IF(VLOOKUP($C$3&amp;"-"&amp;$D25,Import!$C:$H,3,FALSE)=0,"",VLOOKUP($C$3&amp;"-"&amp;$D25,Import!$C:$H,3,FALSE))</f>
        <v/>
      </c>
      <c r="Q25" s="1015" t="str">
        <f>IF(VLOOKUP($C$3&amp;"-"&amp;$D25,Import!$C:$H,4,FALSE)=0,"",VLOOKUP($C$3&amp;"-"&amp;$D25,Import!$C:$H,4,FALSE))</f>
        <v/>
      </c>
      <c r="R25" s="1015" t="str">
        <f>IF(VLOOKUP($C$3&amp;"-"&amp;$D25,Import!$C:$H,5,FALSE)=0,"",VLOOKUP($C$3&amp;"-"&amp;$D25,Import!$C:$H,5,FALSE))</f>
        <v/>
      </c>
      <c r="S25" s="1016" t="str">
        <f>IF(VLOOKUP($C$3&amp;"-"&amp;$D25,Import!$C:$H,6,FALSE)=0,"",VLOOKUP($C$3&amp;"-"&amp;$D25,Import!$C:$H,6,FALSE))</f>
        <v/>
      </c>
      <c r="T25" s="157"/>
      <c r="U25" s="256"/>
    </row>
    <row r="26" spans="1:21" s="293" customFormat="1" ht="34.950000000000003" customHeight="1" x14ac:dyDescent="0.2">
      <c r="A26" s="279"/>
      <c r="B26" s="1204"/>
      <c r="C26" s="1250"/>
      <c r="D26" s="418" t="s">
        <v>8</v>
      </c>
      <c r="E26" s="514" t="str">
        <f>IF(VLOOKUP(CONCATENATE($C$3,"-",$D26),Languages!$A:$D,1,TRUE)=CONCATENATE($C$3,"-",$D26),VLOOKUP(CONCATENATE($C$3,"-",$D26),Languages!$A:$D,Summary!$C$7,TRUE),NA())</f>
        <v>Identiteetit poistetaan käytöstä, kun niitä ei enää tarvita. Tasolla 1 tämän ei tarvitse olla systemaattista ja säännöllistä.</v>
      </c>
      <c r="F26" s="403">
        <f t="shared" si="0"/>
        <v>0</v>
      </c>
      <c r="G26" s="489"/>
      <c r="H26" s="481"/>
      <c r="I26" s="481"/>
      <c r="J26" s="481"/>
      <c r="K26" s="490"/>
      <c r="L26" s="157"/>
      <c r="M26" s="256"/>
      <c r="N26" s="152"/>
      <c r="O26" s="996" t="str">
        <f>VLOOKUP(VLOOKUP($C$3&amp;"-"&amp;$D26,Import!$C:$D,2,FALSE),Parameters!$C$18:$F$22,Summary!$C$7,FALSE)</f>
        <v xml:space="preserve">0 - Vastaus puuttuu </v>
      </c>
      <c r="P26" s="1034" t="str">
        <f>IF(VLOOKUP($C$3&amp;"-"&amp;$D26,Import!$C:$H,3,FALSE)=0,"",VLOOKUP($C$3&amp;"-"&amp;$D26,Import!$C:$H,3,FALSE))</f>
        <v/>
      </c>
      <c r="Q26" s="1034" t="str">
        <f>IF(VLOOKUP($C$3&amp;"-"&amp;$D26,Import!$C:$H,4,FALSE)=0,"",VLOOKUP($C$3&amp;"-"&amp;$D26,Import!$C:$H,4,FALSE))</f>
        <v/>
      </c>
      <c r="R26" s="1034" t="str">
        <f>IF(VLOOKUP($C$3&amp;"-"&amp;$D26,Import!$C:$H,5,FALSE)=0,"",VLOOKUP($C$3&amp;"-"&amp;$D26,Import!$C:$H,5,FALSE))</f>
        <v/>
      </c>
      <c r="S26" s="1035" t="str">
        <f>IF(VLOOKUP($C$3&amp;"-"&amp;$D26,Import!$C:$H,6,FALSE)=0,"",VLOOKUP($C$3&amp;"-"&amp;$D26,Import!$C:$H,6,FALSE))</f>
        <v/>
      </c>
      <c r="T26" s="157"/>
      <c r="U26" s="256"/>
    </row>
    <row r="27" spans="1:21" s="293" customFormat="1" ht="62.4" customHeight="1" x14ac:dyDescent="0.2">
      <c r="A27" s="279"/>
      <c r="B27" s="1204"/>
      <c r="C27" s="1231">
        <v>2</v>
      </c>
      <c r="D27" s="397" t="s">
        <v>9</v>
      </c>
      <c r="E27" s="511" t="str">
        <f>IF(VLOOKUP(CONCATENATE($C$3,"-",$D27),Languages!$A:$D,1,TRUE)=CONCATENATE($C$3,"-",$D27),VLOOKUP(CONCATENATE($C$3,"-",$D27),Languages!$A:$D,Summary!$C$7,TRUE),NA())</f>
        <v>Identiteettien ajantasaisuudesta huolehditaan tarkastamalla ja päivittämällä ne aika ajoin ja määriteltyjen tilanteiden kuten järjestelmämuutosten yhteydessä tai organisaatiorakenteen muuttuessa.</v>
      </c>
      <c r="F27" s="396">
        <f t="shared" si="0"/>
        <v>0</v>
      </c>
      <c r="G27" s="485"/>
      <c r="H27" s="486"/>
      <c r="I27" s="486"/>
      <c r="J27" s="486"/>
      <c r="K27" s="487"/>
      <c r="L27" s="157"/>
      <c r="M27" s="256"/>
      <c r="N27" s="152"/>
      <c r="O27" s="988" t="str">
        <f>VLOOKUP(VLOOKUP($C$3&amp;"-"&amp;$D27,Import!$C:$D,2,FALSE),Parameters!$C$18:$F$22,Summary!$C$7,FALSE)</f>
        <v xml:space="preserve">0 - Vastaus puuttuu </v>
      </c>
      <c r="P27" s="1032" t="str">
        <f>IF(VLOOKUP($C$3&amp;"-"&amp;$D27,Import!$C:$H,3,FALSE)=0,"",VLOOKUP($C$3&amp;"-"&amp;$D27,Import!$C:$H,3,FALSE))</f>
        <v/>
      </c>
      <c r="Q27" s="1032" t="str">
        <f>IF(VLOOKUP($C$3&amp;"-"&amp;$D27,Import!$C:$H,4,FALSE)=0,"",VLOOKUP($C$3&amp;"-"&amp;$D27,Import!$C:$H,4,FALSE))</f>
        <v/>
      </c>
      <c r="R27" s="1032" t="str">
        <f>IF(VLOOKUP($C$3&amp;"-"&amp;$D27,Import!$C:$H,5,FALSE)=0,"",VLOOKUP($C$3&amp;"-"&amp;$D27,Import!$C:$H,5,FALSE))</f>
        <v/>
      </c>
      <c r="S27" s="1033" t="str">
        <f>IF(VLOOKUP($C$3&amp;"-"&amp;$D27,Import!$C:$H,6,FALSE)=0,"",VLOOKUP($C$3&amp;"-"&amp;$D27,Import!$C:$H,6,FALSE))</f>
        <v/>
      </c>
      <c r="T27" s="157"/>
      <c r="U27" s="256"/>
    </row>
    <row r="28" spans="1:21" s="293" customFormat="1" ht="34.950000000000003" customHeight="1" x14ac:dyDescent="0.2">
      <c r="A28" s="279"/>
      <c r="B28" s="1204"/>
      <c r="C28" s="1232"/>
      <c r="D28" s="294" t="s">
        <v>10</v>
      </c>
      <c r="E28" s="509" t="str">
        <f>IF(VLOOKUP(CONCATENATE($C$3,"-",$D28),Languages!$A:$D,1,TRUE)=CONCATENATE($C$3,"-",$D28),VLOOKUP(CONCATENATE($C$3,"-",$D28),Languages!$A:$D,Summary!$C$7,TRUE),NA())</f>
        <v>Identiteetit poistetaan käytöstä organisaation määrittelemien enimmäismääräaikojen puitteissa, kun niitä ei enää tarvita.</v>
      </c>
      <c r="F28" s="291">
        <f t="shared" si="0"/>
        <v>0</v>
      </c>
      <c r="G28" s="311"/>
      <c r="H28" s="483"/>
      <c r="I28" s="483"/>
      <c r="J28" s="483"/>
      <c r="K28" s="492"/>
      <c r="L28" s="157"/>
      <c r="M28" s="256"/>
      <c r="N28" s="152"/>
      <c r="O28" s="991" t="str">
        <f>VLOOKUP(VLOOKUP($C$3&amp;"-"&amp;$D28,Import!$C:$D,2,FALSE),Parameters!$C$18:$F$22,Summary!$C$7,FALSE)</f>
        <v xml:space="preserve">0 - Vastaus puuttuu </v>
      </c>
      <c r="P28" s="1017" t="str">
        <f>IF(VLOOKUP($C$3&amp;"-"&amp;$D28,Import!$C:$H,3,FALSE)=0,"",VLOOKUP($C$3&amp;"-"&amp;$D28,Import!$C:$H,3,FALSE))</f>
        <v/>
      </c>
      <c r="Q28" s="1017" t="str">
        <f>IF(VLOOKUP($C$3&amp;"-"&amp;$D28,Import!$C:$H,4,FALSE)=0,"",VLOOKUP($C$3&amp;"-"&amp;$D28,Import!$C:$H,4,FALSE))</f>
        <v/>
      </c>
      <c r="R28" s="1017" t="str">
        <f>IF(VLOOKUP($C$3&amp;"-"&amp;$D28,Import!$C:$H,5,FALSE)=0,"",VLOOKUP($C$3&amp;"-"&amp;$D28,Import!$C:$H,5,FALSE))</f>
        <v/>
      </c>
      <c r="S28" s="1018" t="str">
        <f>IF(VLOOKUP($C$3&amp;"-"&amp;$D28,Import!$C:$H,6,FALSE)=0,"",VLOOKUP($C$3&amp;"-"&amp;$D28,Import!$C:$H,6,FALSE))</f>
        <v/>
      </c>
      <c r="T28" s="157"/>
      <c r="U28" s="256"/>
    </row>
    <row r="29" spans="1:21" s="293" customFormat="1" ht="60" customHeight="1" x14ac:dyDescent="0.2">
      <c r="A29" s="279"/>
      <c r="B29" s="1204"/>
      <c r="C29" s="1233"/>
      <c r="D29" s="402" t="s">
        <v>11</v>
      </c>
      <c r="E29" s="512" t="str">
        <f>IF(VLOOKUP(CONCATENATE($C$3,"-",$D29),Languages!$A:$D,1,TRUE)=CONCATENATE($C$3,"-",$D29),VLOOKUP(CONCATENATE($C$3,"-",$D29),Languages!$A:$D,Summary!$C$7,TRUE),NA())</f>
        <v>Vahvempaa tai monivaiheista tunnistautumista vaaditaan käyttö- ja pääsyoikeuksille, joihin liittyy korkeampi riski (tällaisia voivat olla esimerkiksi hallinta- tai ylläpitotunnukset, jaetut tunnukset tai etäyhteyden käyttö).</v>
      </c>
      <c r="F29" s="403">
        <f t="shared" si="0"/>
        <v>0</v>
      </c>
      <c r="G29" s="489"/>
      <c r="H29" s="484"/>
      <c r="I29" s="484"/>
      <c r="J29" s="484"/>
      <c r="K29" s="493"/>
      <c r="L29" s="157"/>
      <c r="M29" s="256"/>
      <c r="N29" s="152"/>
      <c r="O29" s="996" t="str">
        <f>VLOOKUP(VLOOKUP($C$3&amp;"-"&amp;$D29,Import!$C:$D,2,FALSE),Parameters!$C$18:$F$22,Summary!$C$7,FALSE)</f>
        <v xml:space="preserve">0 - Vastaus puuttuu </v>
      </c>
      <c r="P29" s="1024" t="str">
        <f>IF(VLOOKUP($C$3&amp;"-"&amp;$D29,Import!$C:$H,3,FALSE)=0,"",VLOOKUP($C$3&amp;"-"&amp;$D29,Import!$C:$H,3,FALSE))</f>
        <v/>
      </c>
      <c r="Q29" s="1024" t="str">
        <f>IF(VLOOKUP($C$3&amp;"-"&amp;$D29,Import!$C:$H,4,FALSE)=0,"",VLOOKUP($C$3&amp;"-"&amp;$D29,Import!$C:$H,4,FALSE))</f>
        <v/>
      </c>
      <c r="R29" s="1024" t="str">
        <f>IF(VLOOKUP($C$3&amp;"-"&amp;$D29,Import!$C:$H,5,FALSE)=0,"",VLOOKUP($C$3&amp;"-"&amp;$D29,Import!$C:$H,5,FALSE))</f>
        <v/>
      </c>
      <c r="S29" s="1025" t="str">
        <f>IF(VLOOKUP($C$3&amp;"-"&amp;$D29,Import!$C:$H,6,FALSE)=0,"",VLOOKUP($C$3&amp;"-"&amp;$D29,Import!$C:$H,6,FALSE))</f>
        <v/>
      </c>
      <c r="T29" s="157"/>
      <c r="U29" s="256"/>
    </row>
    <row r="30" spans="1:21" s="315" customFormat="1" ht="19.95" customHeight="1" x14ac:dyDescent="0.2">
      <c r="A30" s="288"/>
      <c r="B30" s="283"/>
      <c r="C30" s="497">
        <v>3</v>
      </c>
      <c r="D30" s="412"/>
      <c r="E30" s="413"/>
      <c r="F30" s="415"/>
      <c r="G30" s="1007"/>
      <c r="H30" s="1008"/>
      <c r="I30" s="1008"/>
      <c r="J30" s="1008"/>
      <c r="K30" s="1009"/>
      <c r="L30" s="157"/>
      <c r="M30" s="256"/>
      <c r="N30" s="152"/>
      <c r="O30" s="413"/>
      <c r="P30" s="414"/>
      <c r="Q30" s="414"/>
      <c r="R30" s="414"/>
      <c r="S30" s="416"/>
      <c r="T30" s="157"/>
      <c r="U30" s="256"/>
    </row>
    <row r="31" spans="1:21" s="180" customFormat="1" ht="30" customHeight="1" x14ac:dyDescent="0.25">
      <c r="A31" s="169"/>
      <c r="B31" s="273"/>
      <c r="C31" s="173">
        <v>2</v>
      </c>
      <c r="D31" s="173" t="str">
        <f>IF(VLOOKUP(CONCATENATE($C$3,"-",C31),Languages!$A:$D,1,TRUE)=CONCATENATE($C$3,"-",C31),VLOOKUP(CONCATENATE($C$3,"-",C31),Languages!$A:$D,Summary!$C$7,TRUE),NA())</f>
        <v>Loogisten käyttöoikeuksien hallinta</v>
      </c>
      <c r="E31" s="173"/>
      <c r="F31" s="296"/>
      <c r="G31" s="1006"/>
      <c r="H31" s="1030"/>
      <c r="I31" s="1030"/>
      <c r="J31" s="1030"/>
      <c r="K31" s="1030"/>
      <c r="L31" s="157"/>
      <c r="M31" s="256"/>
      <c r="N31" s="152"/>
      <c r="O31" s="296"/>
      <c r="P31" s="297"/>
      <c r="Q31" s="297"/>
      <c r="R31" s="297"/>
      <c r="S31" s="297"/>
      <c r="T31" s="157"/>
      <c r="U31" s="256"/>
    </row>
    <row r="32" spans="1:21" s="289" customFormat="1" ht="19.95" customHeight="1" x14ac:dyDescent="0.2">
      <c r="A32" s="308"/>
      <c r="B32" s="283"/>
      <c r="C32" s="284" t="str">
        <f>IF(VLOOKUP("GEN-LEVEL",Languages!$A:$D,1,TRUE)="GEN-LEVEL",VLOOKUP("GEN-LEVEL",Languages!$A:$D,Summary!$C$7,TRUE),NA())</f>
        <v>Taso</v>
      </c>
      <c r="D32" s="284"/>
      <c r="E32" s="285" t="str">
        <f>IF(VLOOKUP("GEN-PRACTICE",Languages!$A:$D,1,TRUE)="GEN-PRACTICE",VLOOKUP("GEN-PRACTICE",Languages!$A:$D,Summary!$C$7,TRUE),NA())</f>
        <v>Käytäntö</v>
      </c>
      <c r="F32" s="286"/>
      <c r="G32" s="1003" t="str">
        <f>IF(VLOOKUP("GEN-ANSWER",Languages!$A:$D,1,TRUE)="GEN-ANSWER",VLOOKUP("GEN-ANSWER",Languages!$A:$D,Summary!$C$7,TRUE),NA())</f>
        <v>Vastaus</v>
      </c>
      <c r="H32" s="1004" t="str">
        <f>IF(VLOOKUP("KM112",Languages!$A:$D,1,TRUE)="KM112",VLOOKUP("KM112",Languages!$A:$D,Summary!$C$7,TRUE),NA())</f>
        <v>Kommentit</v>
      </c>
      <c r="I32" s="1004" t="str">
        <f>IF(VLOOKUP("KM113",Languages!$A:$D,1,TRUE)="KM113",VLOOKUP("KM113",Languages!$A:$D,Summary!$C$7,TRUE),NA())</f>
        <v>Sisäinen viittaus</v>
      </c>
      <c r="J32" s="1004" t="str">
        <f>IF(VLOOKUP("KM114",Languages!$A:$D,1,TRUE)="KM114",VLOOKUP("KM114",Languages!$A:$D,Summary!$C$7,TRUE),NA())</f>
        <v>Ulkoinen viittaus</v>
      </c>
      <c r="K32" s="1004" t="str">
        <f>IF(VLOOKUP("KM115",Languages!$A:$D,1,TRUE)="KM115",VLOOKUP("KM115",Languages!$A:$D,Summary!$C$7,TRUE),NA())</f>
        <v>Kehityskohde</v>
      </c>
      <c r="L32" s="287"/>
      <c r="M32" s="288"/>
      <c r="N32" s="283"/>
      <c r="O32" s="503" t="str">
        <f>IF(VLOOKUP("GEN-ANSWER",Languages!$A:$D,1,TRUE)="GEN-ANSWER",VLOOKUP("GEN-ANSWER",Languages!$A:$D,Summary!$C$7,TRUE),NA())</f>
        <v>Vastaus</v>
      </c>
      <c r="P32" s="503" t="str">
        <f>IF(VLOOKUP("KM112",Languages!$A:$D,1,TRUE)="KM112",VLOOKUP("KM112",Languages!$A:$D,Summary!$C$7,TRUE),NA())</f>
        <v>Kommentit</v>
      </c>
      <c r="Q32" s="503" t="str">
        <f>IF(VLOOKUP("KM113",Languages!$A:$D,1,TRUE)="KM113",VLOOKUP("KM113",Languages!$A:$D,Summary!$C$7,TRUE),NA())</f>
        <v>Sisäinen viittaus</v>
      </c>
      <c r="R32" s="503" t="str">
        <f>IF(VLOOKUP("KM114",Languages!$A:$D,1,TRUE)="KM114",VLOOKUP("KM114",Languages!$A:$D,Summary!$C$7,TRUE),NA())</f>
        <v>Ulkoinen viittaus</v>
      </c>
      <c r="S32" s="503" t="str">
        <f>IF(VLOOKUP("KM115",Languages!$A:$D,1,TRUE)="KM115",VLOOKUP("KM115",Languages!$A:$D,Summary!$C$7,TRUE),NA())</f>
        <v>Kehityskohde</v>
      </c>
      <c r="T32" s="287"/>
      <c r="U32" s="288"/>
    </row>
    <row r="33" spans="1:21" s="300" customFormat="1" ht="34.950000000000003" customHeight="1" x14ac:dyDescent="0.2">
      <c r="A33" s="309"/>
      <c r="B33" s="1213"/>
      <c r="C33" s="1229">
        <v>1</v>
      </c>
      <c r="D33" s="406" t="s">
        <v>17</v>
      </c>
      <c r="E33" s="507" t="str">
        <f>IF(VLOOKUP(CONCATENATE($C$3,"-",$D33),Languages!$A:$D,1,TRUE)=CONCATENATE($C$3,"-",$D33),VLOOKUP(CONCATENATE($C$3,"-",$D33),Languages!$A:$D,Summary!$C$7,TRUE),NA())</f>
        <v>Loogisten käyttöoikeuksien hallinnan valvontakeinoja on käytössä. Tasolla 1 tämän ei tarvitse olla systemaattista ja säännöllistä.</v>
      </c>
      <c r="F33" s="396">
        <f t="shared" ref="F33:F41" si="1">IFERROR(INT(LEFT($G33,1)),0)</f>
        <v>0</v>
      </c>
      <c r="G33" s="485"/>
      <c r="H33" s="486"/>
      <c r="I33" s="486"/>
      <c r="J33" s="486"/>
      <c r="K33" s="487"/>
      <c r="L33" s="157"/>
      <c r="M33" s="256"/>
      <c r="N33" s="152"/>
      <c r="O33" s="988" t="str">
        <f>VLOOKUP(VLOOKUP($C$3&amp;"-"&amp;$D33,Import!$C:$D,2,FALSE),Parameters!$C$18:$F$22,Summary!$C$7,FALSE)</f>
        <v xml:space="preserve">0 - Vastaus puuttuu </v>
      </c>
      <c r="P33" s="1032" t="str">
        <f>IF(VLOOKUP($C$3&amp;"-"&amp;$D33,Import!$C:$H,3,FALSE)=0,"",VLOOKUP($C$3&amp;"-"&amp;$D33,Import!$C:$H,3,FALSE))</f>
        <v/>
      </c>
      <c r="Q33" s="1032" t="str">
        <f>IF(VLOOKUP($C$3&amp;"-"&amp;$D33,Import!$C:$H,4,FALSE)=0,"",VLOOKUP($C$3&amp;"-"&amp;$D33,Import!$C:$H,4,FALSE))</f>
        <v/>
      </c>
      <c r="R33" s="1032" t="str">
        <f>IF(VLOOKUP($C$3&amp;"-"&amp;$D33,Import!$C:$H,5,FALSE)=0,"",VLOOKUP($C$3&amp;"-"&amp;$D33,Import!$C:$H,5,FALSE))</f>
        <v/>
      </c>
      <c r="S33" s="1033" t="str">
        <f>IF(VLOOKUP($C$3&amp;"-"&amp;$D33,Import!$C:$H,6,FALSE)=0,"",VLOOKUP($C$3&amp;"-"&amp;$D33,Import!$C:$H,6,FALSE))</f>
        <v/>
      </c>
      <c r="T33" s="157"/>
      <c r="U33" s="256"/>
    </row>
    <row r="34" spans="1:21" s="300" customFormat="1" ht="34.950000000000003" customHeight="1" x14ac:dyDescent="0.2">
      <c r="A34" s="309"/>
      <c r="B34" s="1213"/>
      <c r="C34" s="1230"/>
      <c r="D34" s="407" t="s">
        <v>18</v>
      </c>
      <c r="E34" s="514" t="str">
        <f>IF(VLOOKUP(CONCATENATE($C$3,"-",$D34),Languages!$A:$D,1,TRUE)=CONCATENATE($C$3,"-",$D34),VLOOKUP(CONCATENATE($C$3,"-",$D34),Languages!$A:$D,Summary!$C$7,TRUE),NA())</f>
        <v>Käyttöoikeudet poistetaan, kun niitä ei enää tarvita. Tasolla 1 tämän ei tarvitse olla systemaattista ja säännöllistä.</v>
      </c>
      <c r="F34" s="403">
        <f t="shared" si="1"/>
        <v>0</v>
      </c>
      <c r="G34" s="489"/>
      <c r="H34" s="484"/>
      <c r="I34" s="484"/>
      <c r="J34" s="484"/>
      <c r="K34" s="493"/>
      <c r="L34" s="157"/>
      <c r="M34" s="256"/>
      <c r="N34" s="152"/>
      <c r="O34" s="996" t="str">
        <f>VLOOKUP(VLOOKUP($C$3&amp;"-"&amp;$D34,Import!$C:$D,2,FALSE),Parameters!$C$18:$F$22,Summary!$C$7,FALSE)</f>
        <v xml:space="preserve">0 - Vastaus puuttuu </v>
      </c>
      <c r="P34" s="1024" t="str">
        <f>IF(VLOOKUP($C$3&amp;"-"&amp;$D34,Import!$C:$H,3,FALSE)=0,"",VLOOKUP($C$3&amp;"-"&amp;$D34,Import!$C:$H,3,FALSE))</f>
        <v/>
      </c>
      <c r="Q34" s="1024" t="str">
        <f>IF(VLOOKUP($C$3&amp;"-"&amp;$D34,Import!$C:$H,4,FALSE)=0,"",VLOOKUP($C$3&amp;"-"&amp;$D34,Import!$C:$H,4,FALSE))</f>
        <v/>
      </c>
      <c r="R34" s="1024" t="str">
        <f>IF(VLOOKUP($C$3&amp;"-"&amp;$D34,Import!$C:$H,5,FALSE)=0,"",VLOOKUP($C$3&amp;"-"&amp;$D34,Import!$C:$H,5,FALSE))</f>
        <v/>
      </c>
      <c r="S34" s="1025" t="str">
        <f>IF(VLOOKUP($C$3&amp;"-"&amp;$D34,Import!$C:$H,6,FALSE)=0,"",VLOOKUP($C$3&amp;"-"&amp;$D34,Import!$C:$H,6,FALSE))</f>
        <v/>
      </c>
      <c r="T34" s="157"/>
      <c r="U34" s="256"/>
    </row>
    <row r="35" spans="1:21" s="300" customFormat="1" ht="72.599999999999994" customHeight="1" x14ac:dyDescent="0.2">
      <c r="A35" s="309"/>
      <c r="B35" s="1213"/>
      <c r="C35" s="1224">
        <v>2</v>
      </c>
      <c r="D35" s="406" t="s">
        <v>19</v>
      </c>
      <c r="E35" s="507" t="str">
        <f>IF(VLOOKUP(CONCATENATE($C$3,"-",$D35),Languages!$A:$D,1,TRUE)=CONCATENATE($C$3,"-",$D35),VLOOKUP(CONCATENATE($C$3,"-",$D35),Languages!$A:$D,Summary!$C$7,TRUE),NA())</f>
        <v>Käyttöoikeuksille on asetettu tarkempia vaatimuksia (esimerkiksi sääntöjä siitä, millaisille entiteeteille voidaan myöntää pääsy, missä rajoissa pääsy voidaan myöntää, rajoitetaanko etäyhteyksiä tai onko valtuustiedoille kuten salasanoille asetettu erityisiä vaatimuksia).</v>
      </c>
      <c r="F35" s="396">
        <f t="shared" si="1"/>
        <v>0</v>
      </c>
      <c r="G35" s="485"/>
      <c r="H35" s="482"/>
      <c r="I35" s="482"/>
      <c r="J35" s="482"/>
      <c r="K35" s="491"/>
      <c r="L35" s="157"/>
      <c r="M35" s="256"/>
      <c r="N35" s="152"/>
      <c r="O35" s="988" t="str">
        <f>VLOOKUP(VLOOKUP($C$3&amp;"-"&amp;$D35,Import!$C:$D,2,FALSE),Parameters!$C$18:$F$22,Summary!$C$7,FALSE)</f>
        <v xml:space="preserve">0 - Vastaus puuttuu </v>
      </c>
      <c r="P35" s="1022" t="str">
        <f>IF(VLOOKUP($C$3&amp;"-"&amp;$D35,Import!$C:$H,3,FALSE)=0,"",VLOOKUP($C$3&amp;"-"&amp;$D35,Import!$C:$H,3,FALSE))</f>
        <v/>
      </c>
      <c r="Q35" s="1022" t="str">
        <f>IF(VLOOKUP($C$3&amp;"-"&amp;$D35,Import!$C:$H,4,FALSE)=0,"",VLOOKUP($C$3&amp;"-"&amp;$D35,Import!$C:$H,4,FALSE))</f>
        <v/>
      </c>
      <c r="R35" s="1022" t="str">
        <f>IF(VLOOKUP($C$3&amp;"-"&amp;$D35,Import!$C:$H,5,FALSE)=0,"",VLOOKUP($C$3&amp;"-"&amp;$D35,Import!$C:$H,5,FALSE))</f>
        <v/>
      </c>
      <c r="S35" s="1023" t="str">
        <f>IF(VLOOKUP($C$3&amp;"-"&amp;$D35,Import!$C:$H,6,FALSE)=0,"",VLOOKUP($C$3&amp;"-"&amp;$D35,Import!$C:$H,6,FALSE))</f>
        <v/>
      </c>
      <c r="T35" s="157"/>
      <c r="U35" s="256"/>
    </row>
    <row r="36" spans="1:21" s="300" customFormat="1" ht="34.950000000000003" customHeight="1" x14ac:dyDescent="0.2">
      <c r="A36" s="309"/>
      <c r="B36" s="1213"/>
      <c r="C36" s="1237"/>
      <c r="D36" s="298" t="s">
        <v>20</v>
      </c>
      <c r="E36" s="508" t="str">
        <f>IF(VLOOKUP(CONCATENATE($C$3,"-",$D36),Languages!$A:$D,1,TRUE)=CONCATENATE($C$3,"-",$D36),VLOOKUP(CONCATENATE($C$3,"-",$D36),Languages!$A:$D,Summary!$C$7,TRUE),NA())</f>
        <v>Käyttöoikeuksien vaatimuksissa on huomioitu pienimmän valtuuden periaate (ref. "principle of least privilege").</v>
      </c>
      <c r="F36" s="291">
        <f t="shared" si="1"/>
        <v>0</v>
      </c>
      <c r="G36" s="311"/>
      <c r="H36" s="483"/>
      <c r="I36" s="483"/>
      <c r="J36" s="483"/>
      <c r="K36" s="492"/>
      <c r="L36" s="157"/>
      <c r="M36" s="256"/>
      <c r="N36" s="152"/>
      <c r="O36" s="991" t="str">
        <f>VLOOKUP(VLOOKUP($C$3&amp;"-"&amp;$D36,Import!$C:$D,2,FALSE),Parameters!$C$18:$F$22,Summary!$C$7,FALSE)</f>
        <v xml:space="preserve">0 - Vastaus puuttuu </v>
      </c>
      <c r="P36" s="1017" t="str">
        <f>IF(VLOOKUP($C$3&amp;"-"&amp;$D36,Import!$C:$H,3,FALSE)=0,"",VLOOKUP($C$3&amp;"-"&amp;$D36,Import!$C:$H,3,FALSE))</f>
        <v/>
      </c>
      <c r="Q36" s="1017" t="str">
        <f>IF(VLOOKUP($C$3&amp;"-"&amp;$D36,Import!$C:$H,4,FALSE)=0,"",VLOOKUP($C$3&amp;"-"&amp;$D36,Import!$C:$H,4,FALSE))</f>
        <v/>
      </c>
      <c r="R36" s="1017" t="str">
        <f>IF(VLOOKUP($C$3&amp;"-"&amp;$D36,Import!$C:$H,5,FALSE)=0,"",VLOOKUP($C$3&amp;"-"&amp;$D36,Import!$C:$H,5,FALSE))</f>
        <v/>
      </c>
      <c r="S36" s="1018" t="str">
        <f>IF(VLOOKUP($C$3&amp;"-"&amp;$D36,Import!$C:$H,6,FALSE)=0,"",VLOOKUP($C$3&amp;"-"&amp;$D36,Import!$C:$H,6,FALSE))</f>
        <v/>
      </c>
      <c r="T36" s="157"/>
      <c r="U36" s="256"/>
    </row>
    <row r="37" spans="1:21" s="300" customFormat="1" ht="34.950000000000003" customHeight="1" x14ac:dyDescent="0.2">
      <c r="A37" s="309"/>
      <c r="B37" s="1213"/>
      <c r="C37" s="1237"/>
      <c r="D37" s="298" t="s">
        <v>21</v>
      </c>
      <c r="E37" s="508" t="str">
        <f>IF(VLOOKUP(CONCATENATE($C$3,"-",$D37),Languages!$A:$D,1,TRUE)=CONCATENATE($C$3,"-",$D37),VLOOKUP(CONCATENATE($C$3,"-",$D37),Languages!$A:$D,Summary!$C$7,TRUE),NA())</f>
        <v>Käyttöoikeuksien vaatimuksissa on huomioitu tehtävien eriyttäminen (ref. "separation of duties").</v>
      </c>
      <c r="F37" s="291">
        <f t="shared" si="1"/>
        <v>0</v>
      </c>
      <c r="G37" s="311"/>
      <c r="H37" s="483"/>
      <c r="I37" s="483"/>
      <c r="J37" s="483"/>
      <c r="K37" s="492"/>
      <c r="L37" s="157"/>
      <c r="M37" s="256"/>
      <c r="N37" s="152"/>
      <c r="O37" s="991" t="str">
        <f>VLOOKUP(VLOOKUP($C$3&amp;"-"&amp;$D37,Import!$C:$D,2,FALSE),Parameters!$C$18:$F$22,Summary!$C$7,FALSE)</f>
        <v xml:space="preserve">0 - Vastaus puuttuu </v>
      </c>
      <c r="P37" s="1017" t="str">
        <f>IF(VLOOKUP($C$3&amp;"-"&amp;$D37,Import!$C:$H,3,FALSE)=0,"",VLOOKUP($C$3&amp;"-"&amp;$D37,Import!$C:$H,3,FALSE))</f>
        <v/>
      </c>
      <c r="Q37" s="1017" t="str">
        <f>IF(VLOOKUP($C$3&amp;"-"&amp;$D37,Import!$C:$H,4,FALSE)=0,"",VLOOKUP($C$3&amp;"-"&amp;$D37,Import!$C:$H,4,FALSE))</f>
        <v/>
      </c>
      <c r="R37" s="1017" t="str">
        <f>IF(VLOOKUP($C$3&amp;"-"&amp;$D37,Import!$C:$H,5,FALSE)=0,"",VLOOKUP($C$3&amp;"-"&amp;$D37,Import!$C:$H,5,FALSE))</f>
        <v/>
      </c>
      <c r="S37" s="1018" t="str">
        <f>IF(VLOOKUP($C$3&amp;"-"&amp;$D37,Import!$C:$H,6,FALSE)=0,"",VLOOKUP($C$3&amp;"-"&amp;$D37,Import!$C:$H,6,FALSE))</f>
        <v/>
      </c>
      <c r="T37" s="157"/>
      <c r="U37" s="256"/>
    </row>
    <row r="38" spans="1:21" s="300" customFormat="1" ht="34.950000000000003" customHeight="1" x14ac:dyDescent="0.2">
      <c r="A38" s="309"/>
      <c r="B38" s="1213"/>
      <c r="C38" s="1237"/>
      <c r="D38" s="298" t="s">
        <v>109</v>
      </c>
      <c r="E38" s="508" t="str">
        <f>IF(VLOOKUP(CONCATENATE($C$3,"-",$D38),Languages!$A:$D,1,TRUE)=CONCATENATE($C$3,"-",$D38),VLOOKUP(CONCATENATE($C$3,"-",$D38),Languages!$A:$D,Summary!$C$7,TRUE),NA())</f>
        <v>Käyttöoikeuspyynnöt tarkastaa ja hyväksyy kyseisen laitteen, ohjelmiston tai tietovarannon omistaja.</v>
      </c>
      <c r="F38" s="291">
        <f t="shared" si="1"/>
        <v>0</v>
      </c>
      <c r="G38" s="311"/>
      <c r="H38" s="483"/>
      <c r="I38" s="483"/>
      <c r="J38" s="483"/>
      <c r="K38" s="492"/>
      <c r="L38" s="157"/>
      <c r="M38" s="256"/>
      <c r="N38" s="152"/>
      <c r="O38" s="991" t="str">
        <f>VLOOKUP(VLOOKUP($C$3&amp;"-"&amp;$D38,Import!$C:$D,2,FALSE),Parameters!$C$18:$F$22,Summary!$C$7,FALSE)</f>
        <v xml:space="preserve">0 - Vastaus puuttuu </v>
      </c>
      <c r="P38" s="1017" t="str">
        <f>IF(VLOOKUP($C$3&amp;"-"&amp;$D38,Import!$C:$H,3,FALSE)=0,"",VLOOKUP($C$3&amp;"-"&amp;$D38,Import!$C:$H,3,FALSE))</f>
        <v/>
      </c>
      <c r="Q38" s="1017" t="str">
        <f>IF(VLOOKUP($C$3&amp;"-"&amp;$D38,Import!$C:$H,4,FALSE)=0,"",VLOOKUP($C$3&amp;"-"&amp;$D38,Import!$C:$H,4,FALSE))</f>
        <v/>
      </c>
      <c r="R38" s="1017" t="str">
        <f>IF(VLOOKUP($C$3&amp;"-"&amp;$D38,Import!$C:$H,5,FALSE)=0,"",VLOOKUP($C$3&amp;"-"&amp;$D38,Import!$C:$H,5,FALSE))</f>
        <v/>
      </c>
      <c r="S38" s="1018" t="str">
        <f>IF(VLOOKUP($C$3&amp;"-"&amp;$D38,Import!$C:$H,6,FALSE)=0,"",VLOOKUP($C$3&amp;"-"&amp;$D38,Import!$C:$H,6,FALSE))</f>
        <v/>
      </c>
      <c r="T38" s="157"/>
      <c r="U38" s="256"/>
    </row>
    <row r="39" spans="1:21" s="300" customFormat="1" ht="34.950000000000003" customHeight="1" x14ac:dyDescent="0.2">
      <c r="A39" s="309"/>
      <c r="B39" s="1213"/>
      <c r="C39" s="1225"/>
      <c r="D39" s="407" t="s">
        <v>173</v>
      </c>
      <c r="E39" s="514" t="str">
        <f>IF(VLOOKUP(CONCATENATE($C$3,"-",$D39),Languages!$A:$D,1,TRUE)=CONCATENATE($C$3,"-",$D39),VLOOKUP(CONCATENATE($C$3,"-",$D39),Languages!$A:$D,Summary!$C$7,TRUE),NA())</f>
        <v>Käyttöoikeudet, joihin liittyy korkeampi riski, tarkastetaan perusteellisemmin ja niiden käyttöä valvotaan tarkemmin.</v>
      </c>
      <c r="F39" s="403">
        <f t="shared" si="1"/>
        <v>0</v>
      </c>
      <c r="G39" s="489"/>
      <c r="H39" s="484"/>
      <c r="I39" s="484"/>
      <c r="J39" s="484"/>
      <c r="K39" s="493"/>
      <c r="L39" s="157"/>
      <c r="M39" s="256"/>
      <c r="N39" s="152"/>
      <c r="O39" s="996" t="str">
        <f>VLOOKUP(VLOOKUP($C$3&amp;"-"&amp;$D39,Import!$C:$D,2,FALSE),Parameters!$C$18:$F$22,Summary!$C$7,FALSE)</f>
        <v xml:space="preserve">0 - Vastaus puuttuu </v>
      </c>
      <c r="P39" s="1024" t="str">
        <f>IF(VLOOKUP($C$3&amp;"-"&amp;$D39,Import!$C:$H,3,FALSE)=0,"",VLOOKUP($C$3&amp;"-"&amp;$D39,Import!$C:$H,3,FALSE))</f>
        <v/>
      </c>
      <c r="Q39" s="1024" t="str">
        <f>IF(VLOOKUP($C$3&amp;"-"&amp;$D39,Import!$C:$H,4,FALSE)=0,"",VLOOKUP($C$3&amp;"-"&amp;$D39,Import!$C:$H,4,FALSE))</f>
        <v/>
      </c>
      <c r="R39" s="1024" t="str">
        <f>IF(VLOOKUP($C$3&amp;"-"&amp;$D39,Import!$C:$H,5,FALSE)=0,"",VLOOKUP($C$3&amp;"-"&amp;$D39,Import!$C:$H,5,FALSE))</f>
        <v/>
      </c>
      <c r="S39" s="1025" t="str">
        <f>IF(VLOOKUP($C$3&amp;"-"&amp;$D39,Import!$C:$H,6,FALSE)=0,"",VLOOKUP($C$3&amp;"-"&amp;$D39,Import!$C:$H,6,FALSE))</f>
        <v/>
      </c>
      <c r="T39" s="157"/>
      <c r="U39" s="256"/>
    </row>
    <row r="40" spans="1:21" s="300" customFormat="1" ht="60" customHeight="1" x14ac:dyDescent="0.2">
      <c r="A40" s="309"/>
      <c r="B40" s="1213"/>
      <c r="C40" s="1226">
        <v>3</v>
      </c>
      <c r="D40" s="406" t="s">
        <v>175</v>
      </c>
      <c r="E40" s="507" t="str">
        <f>IF(VLOOKUP(CONCATENATE($C$3,"-",$D40),Languages!$A:$D,1,TRUE)=CONCATENATE($C$3,"-",$D40),VLOOKUP(CONCATENATE($C$3,"-",$D40),Languages!$A:$D,Summary!$C$7,TRUE),NA())</f>
        <v>Käyttöoikeudet tarkastetaan ja päivitetään aika ajoin ja määriteltyjen tilanteiden kuten organisaatiorakenteen muuttuessa tai tilapäisen käyttöoikeuksien korotuksen jälkeen.</v>
      </c>
      <c r="F40" s="396">
        <f t="shared" si="1"/>
        <v>0</v>
      </c>
      <c r="G40" s="485"/>
      <c r="H40" s="482"/>
      <c r="I40" s="482"/>
      <c r="J40" s="482"/>
      <c r="K40" s="491"/>
      <c r="L40" s="157"/>
      <c r="M40" s="256"/>
      <c r="N40" s="152"/>
      <c r="O40" s="988" t="str">
        <f>VLOOKUP(VLOOKUP($C$3&amp;"-"&amp;$D40,Import!$C:$D,2,FALSE),Parameters!$C$18:$F$22,Summary!$C$7,FALSE)</f>
        <v xml:space="preserve">0 - Vastaus puuttuu </v>
      </c>
      <c r="P40" s="1022" t="str">
        <f>IF(VLOOKUP($C$3&amp;"-"&amp;$D40,Import!$C:$H,3,FALSE)=0,"",VLOOKUP($C$3&amp;"-"&amp;$D40,Import!$C:$H,3,FALSE))</f>
        <v/>
      </c>
      <c r="Q40" s="1022" t="str">
        <f>IF(VLOOKUP($C$3&amp;"-"&amp;$D40,Import!$C:$H,4,FALSE)=0,"",VLOOKUP($C$3&amp;"-"&amp;$D40,Import!$C:$H,4,FALSE))</f>
        <v/>
      </c>
      <c r="R40" s="1022" t="str">
        <f>IF(VLOOKUP($C$3&amp;"-"&amp;$D40,Import!$C:$H,5,FALSE)=0,"",VLOOKUP($C$3&amp;"-"&amp;$D40,Import!$C:$H,5,FALSE))</f>
        <v/>
      </c>
      <c r="S40" s="1023" t="str">
        <f>IF(VLOOKUP($C$3&amp;"-"&amp;$D40,Import!$C:$H,6,FALSE)=0,"",VLOOKUP($C$3&amp;"-"&amp;$D40,Import!$C:$H,6,FALSE))</f>
        <v/>
      </c>
      <c r="T40" s="157"/>
      <c r="U40" s="256"/>
    </row>
    <row r="41" spans="1:21" s="300" customFormat="1" ht="46.2" customHeight="1" x14ac:dyDescent="0.2">
      <c r="A41" s="309"/>
      <c r="B41" s="390"/>
      <c r="C41" s="1227"/>
      <c r="D41" s="407" t="s">
        <v>206</v>
      </c>
      <c r="E41" s="514" t="str">
        <f>IF(VLOOKUP(CONCATENATE($C$3,"-",$D41),Languages!$A:$D,1,TRUE)=CONCATENATE($C$3,"-",$D41),VLOOKUP(CONCATENATE($C$3,"-",$D41),Languages!$A:$D,Summary!$C$7,TRUE),NA())</f>
        <v>Kirjautumis- ja yhteydenmuodostusyrityksiä seurataan ja niissä havaitut poikkeavuudet toimivat kybertapahtumien indikaattoreina.</v>
      </c>
      <c r="F41" s="403">
        <f t="shared" si="1"/>
        <v>0</v>
      </c>
      <c r="G41" s="489"/>
      <c r="H41" s="484"/>
      <c r="I41" s="484"/>
      <c r="J41" s="484"/>
      <c r="K41" s="493"/>
      <c r="L41" s="157"/>
      <c r="M41" s="256"/>
      <c r="N41" s="152"/>
      <c r="O41" s="996" t="str">
        <f>VLOOKUP(VLOOKUP($C$3&amp;"-"&amp;$D41,Import!$C:$D,2,FALSE),Parameters!$C$18:$F$22,Summary!$C$7,FALSE)</f>
        <v xml:space="preserve">0 - Vastaus puuttuu </v>
      </c>
      <c r="P41" s="1024" t="str">
        <f>IF(VLOOKUP($C$3&amp;"-"&amp;$D41,Import!$C:$H,3,FALSE)=0,"",VLOOKUP($C$3&amp;"-"&amp;$D41,Import!$C:$H,3,FALSE))</f>
        <v/>
      </c>
      <c r="Q41" s="1024" t="str">
        <f>IF(VLOOKUP($C$3&amp;"-"&amp;$D41,Import!$C:$H,4,FALSE)=0,"",VLOOKUP($C$3&amp;"-"&amp;$D41,Import!$C:$H,4,FALSE))</f>
        <v/>
      </c>
      <c r="R41" s="1024" t="str">
        <f>IF(VLOOKUP($C$3&amp;"-"&amp;$D41,Import!$C:$H,5,FALSE)=0,"",VLOOKUP($C$3&amp;"-"&amp;$D41,Import!$C:$H,5,FALSE))</f>
        <v/>
      </c>
      <c r="S41" s="1025" t="str">
        <f>IF(VLOOKUP($C$3&amp;"-"&amp;$D41,Import!$C:$H,6,FALSE)=0,"",VLOOKUP($C$3&amp;"-"&amp;$D41,Import!$C:$H,6,FALSE))</f>
        <v/>
      </c>
      <c r="T41" s="157"/>
      <c r="U41" s="256"/>
    </row>
    <row r="42" spans="1:21" s="180" customFormat="1" ht="30" customHeight="1" x14ac:dyDescent="0.25">
      <c r="A42" s="169"/>
      <c r="B42" s="273"/>
      <c r="C42" s="173">
        <v>3</v>
      </c>
      <c r="D42" s="173" t="str">
        <f>IF(VLOOKUP(CONCATENATE($C$3,"-",C42),Languages!$A:$D,1,TRUE)=CONCATENATE($C$3,"-",C42),VLOOKUP(CONCATENATE($C$3,"-",C42),Languages!$A:$D,Summary!$C$7,TRUE),NA())</f>
        <v>Fyysinen pääsynhallinta</v>
      </c>
      <c r="E42" s="173"/>
      <c r="F42" s="296"/>
      <c r="G42" s="1006"/>
      <c r="H42" s="1030"/>
      <c r="I42" s="1030"/>
      <c r="J42" s="1030"/>
      <c r="K42" s="1030"/>
      <c r="L42" s="157"/>
      <c r="M42" s="256"/>
      <c r="N42" s="152"/>
      <c r="O42" s="296"/>
      <c r="P42" s="297"/>
      <c r="Q42" s="297"/>
      <c r="R42" s="297"/>
      <c r="S42" s="297"/>
      <c r="T42" s="157"/>
      <c r="U42" s="256"/>
    </row>
    <row r="43" spans="1:21" s="289" customFormat="1" ht="19.95" customHeight="1" x14ac:dyDescent="0.2">
      <c r="A43" s="308"/>
      <c r="B43" s="283"/>
      <c r="C43" s="284" t="str">
        <f>IF(VLOOKUP("GEN-LEVEL",Languages!$A:$D,1,TRUE)="GEN-LEVEL",VLOOKUP("GEN-LEVEL",Languages!$A:$D,Summary!$C$7,TRUE),NA())</f>
        <v>Taso</v>
      </c>
      <c r="D43" s="284"/>
      <c r="E43" s="285" t="str">
        <f>IF(VLOOKUP("GEN-PRACTICE",Languages!$A:$D,1,TRUE)="GEN-PRACTICE",VLOOKUP("GEN-PRACTICE",Languages!$A:$D,Summary!$C$7,TRUE),NA())</f>
        <v>Käytäntö</v>
      </c>
      <c r="F43" s="286"/>
      <c r="G43" s="1003" t="str">
        <f>IF(VLOOKUP("GEN-ANSWER",Languages!$A:$D,1,TRUE)="GEN-ANSWER",VLOOKUP("GEN-ANSWER",Languages!$A:$D,Summary!$C$7,TRUE),NA())</f>
        <v>Vastaus</v>
      </c>
      <c r="H43" s="1004" t="str">
        <f>IF(VLOOKUP("KM112",Languages!$A:$D,1,TRUE)="KM112",VLOOKUP("KM112",Languages!$A:$D,Summary!$C$7,TRUE),NA())</f>
        <v>Kommentit</v>
      </c>
      <c r="I43" s="1004" t="str">
        <f>IF(VLOOKUP("KM113",Languages!$A:$D,1,TRUE)="KM113",VLOOKUP("KM113",Languages!$A:$D,Summary!$C$7,TRUE),NA())</f>
        <v>Sisäinen viittaus</v>
      </c>
      <c r="J43" s="1004" t="str">
        <f>IF(VLOOKUP("KM114",Languages!$A:$D,1,TRUE)="KM114",VLOOKUP("KM114",Languages!$A:$D,Summary!$C$7,TRUE),NA())</f>
        <v>Ulkoinen viittaus</v>
      </c>
      <c r="K43" s="1004" t="str">
        <f>IF(VLOOKUP("KM115",Languages!$A:$D,1,TRUE)="KM115",VLOOKUP("KM115",Languages!$A:$D,Summary!$C$7,TRUE),NA())</f>
        <v>Kehityskohde</v>
      </c>
      <c r="L43" s="287"/>
      <c r="M43" s="288"/>
      <c r="N43" s="283"/>
      <c r="O43" s="503" t="str">
        <f>IF(VLOOKUP("GEN-ANSWER",Languages!$A:$D,1,TRUE)="GEN-ANSWER",VLOOKUP("GEN-ANSWER",Languages!$A:$D,Summary!$C$7,TRUE),NA())</f>
        <v>Vastaus</v>
      </c>
      <c r="P43" s="503" t="str">
        <f>IF(VLOOKUP("KM112",Languages!$A:$D,1,TRUE)="KM112",VLOOKUP("KM112",Languages!$A:$D,Summary!$C$7,TRUE),NA())</f>
        <v>Kommentit</v>
      </c>
      <c r="Q43" s="503" t="str">
        <f>IF(VLOOKUP("KM113",Languages!$A:$D,1,TRUE)="KM113",VLOOKUP("KM113",Languages!$A:$D,Summary!$C$7,TRUE),NA())</f>
        <v>Sisäinen viittaus</v>
      </c>
      <c r="R43" s="503" t="str">
        <f>IF(VLOOKUP("KM114",Languages!$A:$D,1,TRUE)="KM114",VLOOKUP("KM114",Languages!$A:$D,Summary!$C$7,TRUE),NA())</f>
        <v>Ulkoinen viittaus</v>
      </c>
      <c r="S43" s="503" t="str">
        <f>IF(VLOOKUP("KM115",Languages!$A:$D,1,TRUE)="KM115",VLOOKUP("KM115",Languages!$A:$D,Summary!$C$7,TRUE),NA())</f>
        <v>Kehityskohde</v>
      </c>
      <c r="T43" s="287"/>
      <c r="U43" s="288"/>
    </row>
    <row r="44" spans="1:21" s="300" customFormat="1" ht="45" customHeight="1" x14ac:dyDescent="0.2">
      <c r="A44" s="309"/>
      <c r="B44" s="1213"/>
      <c r="C44" s="1229">
        <v>1</v>
      </c>
      <c r="D44" s="406" t="s">
        <v>22</v>
      </c>
      <c r="E44" s="507" t="str">
        <f>IF(VLOOKUP(CONCATENATE($C$3,"-",$D44),Languages!$A:$D,1,TRUE)=CONCATENATE($C$3,"-",$D44),VLOOKUP(CONCATENATE($C$3,"-",$D44),Languages!$A:$D,Summary!$C$7,TRUE),NA())</f>
        <v>Fyysisen pääsynhallinnan valvontakeinoja on käytössä (kuten aitoja, lukkoja tai kylttejä). Tasolla 1 tämän ei tarvitse olla systemaattista ja säännöllistä.</v>
      </c>
      <c r="F44" s="396">
        <f t="shared" ref="F44:F52" si="2">IFERROR(INT(LEFT($G44,1)),0)</f>
        <v>0</v>
      </c>
      <c r="G44" s="485"/>
      <c r="H44" s="486"/>
      <c r="I44" s="486"/>
      <c r="J44" s="486"/>
      <c r="K44" s="487"/>
      <c r="L44" s="157"/>
      <c r="M44" s="256"/>
      <c r="N44" s="152"/>
      <c r="O44" s="988" t="str">
        <f>VLOOKUP(VLOOKUP($C$3&amp;"-"&amp;$D44,Import!$C:$D,2,FALSE),Parameters!$C$18:$F$22,Summary!$C$7,FALSE)</f>
        <v xml:space="preserve">0 - Vastaus puuttuu </v>
      </c>
      <c r="P44" s="1032" t="str">
        <f>IF(VLOOKUP($C$3&amp;"-"&amp;$D44,Import!$C:$H,3,FALSE)=0,"",VLOOKUP($C$3&amp;"-"&amp;$D44,Import!$C:$H,3,FALSE))</f>
        <v/>
      </c>
      <c r="Q44" s="1032" t="str">
        <f>IF(VLOOKUP($C$3&amp;"-"&amp;$D44,Import!$C:$H,4,FALSE)=0,"",VLOOKUP($C$3&amp;"-"&amp;$D44,Import!$C:$H,4,FALSE))</f>
        <v/>
      </c>
      <c r="R44" s="1032" t="str">
        <f>IF(VLOOKUP($C$3&amp;"-"&amp;$D44,Import!$C:$H,5,FALSE)=0,"",VLOOKUP($C$3&amp;"-"&amp;$D44,Import!$C:$H,5,FALSE))</f>
        <v/>
      </c>
      <c r="S44" s="1033" t="str">
        <f>IF(VLOOKUP($C$3&amp;"-"&amp;$D44,Import!$C:$H,6,FALSE)=0,"",VLOOKUP($C$3&amp;"-"&amp;$D44,Import!$C:$H,6,FALSE))</f>
        <v/>
      </c>
      <c r="T44" s="157"/>
      <c r="U44" s="256"/>
    </row>
    <row r="45" spans="1:21" s="300" customFormat="1" ht="34.950000000000003" customHeight="1" x14ac:dyDescent="0.2">
      <c r="A45" s="309"/>
      <c r="B45" s="1213"/>
      <c r="C45" s="1238"/>
      <c r="D45" s="298" t="s">
        <v>23</v>
      </c>
      <c r="E45" s="508" t="str">
        <f>IF(VLOOKUP(CONCATENATE($C$3,"-",$D45),Languages!$A:$D,1,TRUE)=CONCATENATE($C$3,"-",$D45),VLOOKUP(CONCATENATE($C$3,"-",$D45),Languages!$A:$D,Summary!$C$7,TRUE),NA())</f>
        <v>Pääsyoikeudet poistetaan, kun niitä ei enää tarvita. Tasolla 1 tämän ei tarvitse olla systemaattista ja säännöllistä.</v>
      </c>
      <c r="F45" s="291">
        <f t="shared" si="2"/>
        <v>0</v>
      </c>
      <c r="G45" s="311"/>
      <c r="H45" s="483"/>
      <c r="I45" s="483"/>
      <c r="J45" s="483"/>
      <c r="K45" s="492"/>
      <c r="L45" s="157"/>
      <c r="M45" s="256"/>
      <c r="N45" s="152"/>
      <c r="O45" s="991" t="str">
        <f>VLOOKUP(VLOOKUP($C$3&amp;"-"&amp;$D45,Import!$C:$D,2,FALSE),Parameters!$C$18:$F$22,Summary!$C$7,FALSE)</f>
        <v xml:space="preserve">0 - Vastaus puuttuu </v>
      </c>
      <c r="P45" s="1017" t="str">
        <f>IF(VLOOKUP($C$3&amp;"-"&amp;$D45,Import!$C:$H,3,FALSE)=0,"",VLOOKUP($C$3&amp;"-"&amp;$D45,Import!$C:$H,3,FALSE))</f>
        <v/>
      </c>
      <c r="Q45" s="1017" t="str">
        <f>IF(VLOOKUP($C$3&amp;"-"&amp;$D45,Import!$C:$H,4,FALSE)=0,"",VLOOKUP($C$3&amp;"-"&amp;$D45,Import!$C:$H,4,FALSE))</f>
        <v/>
      </c>
      <c r="R45" s="1017" t="str">
        <f>IF(VLOOKUP($C$3&amp;"-"&amp;$D45,Import!$C:$H,5,FALSE)=0,"",VLOOKUP($C$3&amp;"-"&amp;$D45,Import!$C:$H,5,FALSE))</f>
        <v/>
      </c>
      <c r="S45" s="1018" t="str">
        <f>IF(VLOOKUP($C$3&amp;"-"&amp;$D45,Import!$C:$H,6,FALSE)=0,"",VLOOKUP($C$3&amp;"-"&amp;$D45,Import!$C:$H,6,FALSE))</f>
        <v/>
      </c>
      <c r="T45" s="157"/>
      <c r="U45" s="256"/>
    </row>
    <row r="46" spans="1:21" s="300" customFormat="1" ht="34.950000000000003" customHeight="1" x14ac:dyDescent="0.2">
      <c r="A46" s="309"/>
      <c r="B46" s="1213"/>
      <c r="C46" s="1230"/>
      <c r="D46" s="407" t="s">
        <v>24</v>
      </c>
      <c r="E46" s="514" t="str">
        <f>IF(VLOOKUP(CONCATENATE($C$3,"-",$D46),Languages!$A:$D,1,TRUE)=CONCATENATE($C$3,"-",$D46),VLOOKUP(CONCATENATE($C$3,"-",$D46),Languages!$A:$D,Summary!$C$7,TRUE),NA())</f>
        <v>Pääsyoikeuksien käytöstä pidetään lokia. Tasolla 1 tämän ei tarvitse olla systemaattista ja säännöllistä.</v>
      </c>
      <c r="F46" s="403">
        <f t="shared" si="2"/>
        <v>0</v>
      </c>
      <c r="G46" s="489"/>
      <c r="H46" s="484"/>
      <c r="I46" s="484"/>
      <c r="J46" s="484"/>
      <c r="K46" s="493"/>
      <c r="L46" s="157"/>
      <c r="M46" s="256"/>
      <c r="N46" s="152"/>
      <c r="O46" s="996" t="str">
        <f>VLOOKUP(VLOOKUP($C$3&amp;"-"&amp;$D46,Import!$C:$D,2,FALSE),Parameters!$C$18:$F$22,Summary!$C$7,FALSE)</f>
        <v xml:space="preserve">0 - Vastaus puuttuu </v>
      </c>
      <c r="P46" s="1024" t="str">
        <f>IF(VLOOKUP($C$3&amp;"-"&amp;$D46,Import!$C:$H,3,FALSE)=0,"",VLOOKUP($C$3&amp;"-"&amp;$D46,Import!$C:$H,3,FALSE))</f>
        <v/>
      </c>
      <c r="Q46" s="1024" t="str">
        <f>IF(VLOOKUP($C$3&amp;"-"&amp;$D46,Import!$C:$H,4,FALSE)=0,"",VLOOKUP($C$3&amp;"-"&amp;$D46,Import!$C:$H,4,FALSE))</f>
        <v/>
      </c>
      <c r="R46" s="1024" t="str">
        <f>IF(VLOOKUP($C$3&amp;"-"&amp;$D46,Import!$C:$H,5,FALSE)=0,"",VLOOKUP($C$3&amp;"-"&amp;$D46,Import!$C:$H,5,FALSE))</f>
        <v/>
      </c>
      <c r="S46" s="1025" t="str">
        <f>IF(VLOOKUP($C$3&amp;"-"&amp;$D46,Import!$C:$H,6,FALSE)=0,"",VLOOKUP($C$3&amp;"-"&amp;$D46,Import!$C:$H,6,FALSE))</f>
        <v/>
      </c>
      <c r="T46" s="157"/>
      <c r="U46" s="256"/>
    </row>
    <row r="47" spans="1:21" s="300" customFormat="1" ht="45" customHeight="1" x14ac:dyDescent="0.2">
      <c r="A47" s="309"/>
      <c r="B47" s="1213"/>
      <c r="C47" s="1224">
        <v>2</v>
      </c>
      <c r="D47" s="406" t="s">
        <v>25</v>
      </c>
      <c r="E47" s="507" t="str">
        <f>IF(VLOOKUP(CONCATENATE($C$3,"-",$D47),Languages!$A:$D,1,TRUE)=CONCATENATE($C$3,"-",$D47),VLOOKUP(CONCATENATE($C$3,"-",$D47),Languages!$A:$D,Summary!$C$7,TRUE),NA())</f>
        <v>Pääsyoikeuksille on asetettu tarkempia vaatimuksia (esimerkiksi sääntöjä siitä, kenelle pääsy voidaan myöntää, millä tavoin pääsyoikeudet myönnetään tai missä rajoissa pääsy sallitaan).</v>
      </c>
      <c r="F47" s="396">
        <f t="shared" si="2"/>
        <v>0</v>
      </c>
      <c r="G47" s="485"/>
      <c r="H47" s="482"/>
      <c r="I47" s="482"/>
      <c r="J47" s="482"/>
      <c r="K47" s="491"/>
      <c r="L47" s="157"/>
      <c r="M47" s="256"/>
      <c r="N47" s="152"/>
      <c r="O47" s="988" t="str">
        <f>VLOOKUP(VLOOKUP($C$3&amp;"-"&amp;$D47,Import!$C:$D,2,FALSE),Parameters!$C$18:$F$22,Summary!$C$7,FALSE)</f>
        <v xml:space="preserve">0 - Vastaus puuttuu </v>
      </c>
      <c r="P47" s="1022" t="str">
        <f>IF(VLOOKUP($C$3&amp;"-"&amp;$D47,Import!$C:$H,3,FALSE)=0,"",VLOOKUP($C$3&amp;"-"&amp;$D47,Import!$C:$H,3,FALSE))</f>
        <v/>
      </c>
      <c r="Q47" s="1022" t="str">
        <f>IF(VLOOKUP($C$3&amp;"-"&amp;$D47,Import!$C:$H,4,FALSE)=0,"",VLOOKUP($C$3&amp;"-"&amp;$D47,Import!$C:$H,4,FALSE))</f>
        <v/>
      </c>
      <c r="R47" s="1022" t="str">
        <f>IF(VLOOKUP($C$3&amp;"-"&amp;$D47,Import!$C:$H,5,FALSE)=0,"",VLOOKUP($C$3&amp;"-"&amp;$D47,Import!$C:$H,5,FALSE))</f>
        <v/>
      </c>
      <c r="S47" s="1023" t="str">
        <f>IF(VLOOKUP($C$3&amp;"-"&amp;$D47,Import!$C:$H,6,FALSE)=0,"",VLOOKUP($C$3&amp;"-"&amp;$D47,Import!$C:$H,6,FALSE))</f>
        <v/>
      </c>
      <c r="T47" s="157"/>
      <c r="U47" s="256"/>
    </row>
    <row r="48" spans="1:21" s="300" customFormat="1" ht="34.950000000000003" customHeight="1" x14ac:dyDescent="0.2">
      <c r="A48" s="309"/>
      <c r="B48" s="1213"/>
      <c r="C48" s="1237"/>
      <c r="D48" s="298" t="s">
        <v>26</v>
      </c>
      <c r="E48" s="508" t="str">
        <f>IF(VLOOKUP(CONCATENATE($C$3,"-",$D48),Languages!$A:$D,1,TRUE)=CONCATENATE($C$3,"-",$D48),VLOOKUP(CONCATENATE($C$3,"-",$D48),Languages!$A:$D,Summary!$C$7,TRUE),NA())</f>
        <v>Pääsyoikeuksien vaatimuksissa on huomioitu pienimmän valtuuden periaate (ref. "principle of least privilege").</v>
      </c>
      <c r="F48" s="291">
        <f t="shared" si="2"/>
        <v>0</v>
      </c>
      <c r="G48" s="311"/>
      <c r="H48" s="483"/>
      <c r="I48" s="483"/>
      <c r="J48" s="483"/>
      <c r="K48" s="492"/>
      <c r="L48" s="157"/>
      <c r="M48" s="256"/>
      <c r="N48" s="152"/>
      <c r="O48" s="991" t="str">
        <f>VLOOKUP(VLOOKUP($C$3&amp;"-"&amp;$D48,Import!$C:$D,2,FALSE),Parameters!$C$18:$F$22,Summary!$C$7,FALSE)</f>
        <v xml:space="preserve">0 - Vastaus puuttuu </v>
      </c>
      <c r="P48" s="1017" t="str">
        <f>IF(VLOOKUP($C$3&amp;"-"&amp;$D48,Import!$C:$H,3,FALSE)=0,"",VLOOKUP($C$3&amp;"-"&amp;$D48,Import!$C:$H,3,FALSE))</f>
        <v/>
      </c>
      <c r="Q48" s="1017" t="str">
        <f>IF(VLOOKUP($C$3&amp;"-"&amp;$D48,Import!$C:$H,4,FALSE)=0,"",VLOOKUP($C$3&amp;"-"&amp;$D48,Import!$C:$H,4,FALSE))</f>
        <v/>
      </c>
      <c r="R48" s="1017" t="str">
        <f>IF(VLOOKUP($C$3&amp;"-"&amp;$D48,Import!$C:$H,5,FALSE)=0,"",VLOOKUP($C$3&amp;"-"&amp;$D48,Import!$C:$H,5,FALSE))</f>
        <v/>
      </c>
      <c r="S48" s="1018" t="str">
        <f>IF(VLOOKUP($C$3&amp;"-"&amp;$D48,Import!$C:$H,6,FALSE)=0,"",VLOOKUP($C$3&amp;"-"&amp;$D48,Import!$C:$H,6,FALSE))</f>
        <v/>
      </c>
      <c r="T48" s="157"/>
      <c r="U48" s="256"/>
    </row>
    <row r="49" spans="1:21" s="300" customFormat="1" ht="34.950000000000003" customHeight="1" x14ac:dyDescent="0.2">
      <c r="A49" s="309"/>
      <c r="B49" s="1213"/>
      <c r="C49" s="1237"/>
      <c r="D49" s="298" t="s">
        <v>27</v>
      </c>
      <c r="E49" s="508" t="str">
        <f>IF(VLOOKUP(CONCATENATE($C$3,"-",$D49),Languages!$A:$D,1,TRUE)=CONCATENATE($C$3,"-",$D49),VLOOKUP(CONCATENATE($C$3,"-",$D49),Languages!$A:$D,Summary!$C$7,TRUE),NA())</f>
        <v>Pääsyoikeuspyynnöt tarkastaa ja hyväksyy kyseisen tilan, laitteen, ohjelmiston tai tietovarannon omistaja.</v>
      </c>
      <c r="F49" s="291">
        <f t="shared" si="2"/>
        <v>0</v>
      </c>
      <c r="G49" s="311"/>
      <c r="H49" s="483"/>
      <c r="I49" s="483"/>
      <c r="J49" s="483"/>
      <c r="K49" s="492"/>
      <c r="L49" s="157"/>
      <c r="M49" s="256"/>
      <c r="N49" s="152"/>
      <c r="O49" s="991" t="str">
        <f>VLOOKUP(VLOOKUP($C$3&amp;"-"&amp;$D49,Import!$C:$D,2,FALSE),Parameters!$C$18:$F$22,Summary!$C$7,FALSE)</f>
        <v xml:space="preserve">0 - Vastaus puuttuu </v>
      </c>
      <c r="P49" s="1017" t="str">
        <f>IF(VLOOKUP($C$3&amp;"-"&amp;$D49,Import!$C:$H,3,FALSE)=0,"",VLOOKUP($C$3&amp;"-"&amp;$D49,Import!$C:$H,3,FALSE))</f>
        <v/>
      </c>
      <c r="Q49" s="1017" t="str">
        <f>IF(VLOOKUP($C$3&amp;"-"&amp;$D49,Import!$C:$H,4,FALSE)=0,"",VLOOKUP($C$3&amp;"-"&amp;$D49,Import!$C:$H,4,FALSE))</f>
        <v/>
      </c>
      <c r="R49" s="1017" t="str">
        <f>IF(VLOOKUP($C$3&amp;"-"&amp;$D49,Import!$C:$H,5,FALSE)=0,"",VLOOKUP($C$3&amp;"-"&amp;$D49,Import!$C:$H,5,FALSE))</f>
        <v/>
      </c>
      <c r="S49" s="1018" t="str">
        <f>IF(VLOOKUP($C$3&amp;"-"&amp;$D49,Import!$C:$H,6,FALSE)=0,"",VLOOKUP($C$3&amp;"-"&amp;$D49,Import!$C:$H,6,FALSE))</f>
        <v/>
      </c>
      <c r="T49" s="157"/>
      <c r="U49" s="256"/>
    </row>
    <row r="50" spans="1:21" s="300" customFormat="1" ht="34.950000000000003" customHeight="1" x14ac:dyDescent="0.2">
      <c r="A50" s="309"/>
      <c r="B50" s="1213"/>
      <c r="C50" s="1225"/>
      <c r="D50" s="407" t="s">
        <v>28</v>
      </c>
      <c r="E50" s="514" t="str">
        <f>IF(VLOOKUP(CONCATENATE($C$3,"-",$D50),Languages!$A:$D,1,TRUE)=CONCATENATE($C$3,"-",$D50),VLOOKUP(CONCATENATE($C$3,"-",$D50),Languages!$A:$D,Summary!$C$7,TRUE),NA())</f>
        <v>Pääsyoikeudet, joihin liittyy korkeampi riski, tarkastetaan perusteellisemmin ja niiden käyttöä valvotaan tarkemmin.</v>
      </c>
      <c r="F50" s="403">
        <f t="shared" si="2"/>
        <v>0</v>
      </c>
      <c r="G50" s="489"/>
      <c r="H50" s="484"/>
      <c r="I50" s="484"/>
      <c r="J50" s="484"/>
      <c r="K50" s="493"/>
      <c r="L50" s="157"/>
      <c r="M50" s="256"/>
      <c r="N50" s="152"/>
      <c r="O50" s="996" t="str">
        <f>VLOOKUP(VLOOKUP($C$3&amp;"-"&amp;$D50,Import!$C:$D,2,FALSE),Parameters!$C$18:$F$22,Summary!$C$7,FALSE)</f>
        <v xml:space="preserve">0 - Vastaus puuttuu </v>
      </c>
      <c r="P50" s="1024" t="str">
        <f>IF(VLOOKUP($C$3&amp;"-"&amp;$D50,Import!$C:$H,3,FALSE)=0,"",VLOOKUP($C$3&amp;"-"&amp;$D50,Import!$C:$H,3,FALSE))</f>
        <v/>
      </c>
      <c r="Q50" s="1024" t="str">
        <f>IF(VLOOKUP($C$3&amp;"-"&amp;$D50,Import!$C:$H,4,FALSE)=0,"",VLOOKUP($C$3&amp;"-"&amp;$D50,Import!$C:$H,4,FALSE))</f>
        <v/>
      </c>
      <c r="R50" s="1024" t="str">
        <f>IF(VLOOKUP($C$3&amp;"-"&amp;$D50,Import!$C:$H,5,FALSE)=0,"",VLOOKUP($C$3&amp;"-"&amp;$D50,Import!$C:$H,5,FALSE))</f>
        <v/>
      </c>
      <c r="S50" s="1025" t="str">
        <f>IF(VLOOKUP($C$3&amp;"-"&amp;$D50,Import!$C:$H,6,FALSE)=0,"",VLOOKUP($C$3&amp;"-"&amp;$D50,Import!$C:$H,6,FALSE))</f>
        <v/>
      </c>
      <c r="T50" s="157"/>
      <c r="U50" s="256"/>
    </row>
    <row r="51" spans="1:21" s="300" customFormat="1" ht="34.950000000000003" customHeight="1" x14ac:dyDescent="0.2">
      <c r="A51" s="309"/>
      <c r="B51" s="1213"/>
      <c r="C51" s="1226">
        <v>3</v>
      </c>
      <c r="D51" s="406" t="s">
        <v>244</v>
      </c>
      <c r="E51" s="507" t="str">
        <f>IF(VLOOKUP(CONCATENATE($C$3,"-",$D51),Languages!$A:$D,1,TRUE)=CONCATENATE($C$3,"-",$D51),VLOOKUP(CONCATENATE($C$3,"-",$D51),Languages!$A:$D,Summary!$C$7,TRUE),NA())</f>
        <v>Pääsyoikeudet tarkastetaan ja päivitetään aika ajoin.</v>
      </c>
      <c r="F51" s="396">
        <f t="shared" si="2"/>
        <v>0</v>
      </c>
      <c r="G51" s="485"/>
      <c r="H51" s="482"/>
      <c r="I51" s="482"/>
      <c r="J51" s="482"/>
      <c r="K51" s="491"/>
      <c r="L51" s="157"/>
      <c r="M51" s="256"/>
      <c r="N51" s="152"/>
      <c r="O51" s="988" t="str">
        <f>VLOOKUP(VLOOKUP($C$3&amp;"-"&amp;$D51,Import!$C:$D,2,FALSE),Parameters!$C$18:$F$22,Summary!$C$7,FALSE)</f>
        <v xml:space="preserve">0 - Vastaus puuttuu </v>
      </c>
      <c r="P51" s="1022" t="str">
        <f>IF(VLOOKUP($C$3&amp;"-"&amp;$D51,Import!$C:$H,3,FALSE)=0,"",VLOOKUP($C$3&amp;"-"&amp;$D51,Import!$C:$H,3,FALSE))</f>
        <v/>
      </c>
      <c r="Q51" s="1022" t="str">
        <f>IF(VLOOKUP($C$3&amp;"-"&amp;$D51,Import!$C:$H,4,FALSE)=0,"",VLOOKUP($C$3&amp;"-"&amp;$D51,Import!$C:$H,4,FALSE))</f>
        <v/>
      </c>
      <c r="R51" s="1022" t="str">
        <f>IF(VLOOKUP($C$3&amp;"-"&amp;$D51,Import!$C:$H,5,FALSE)=0,"",VLOOKUP($C$3&amp;"-"&amp;$D51,Import!$C:$H,5,FALSE))</f>
        <v/>
      </c>
      <c r="S51" s="1023" t="str">
        <f>IF(VLOOKUP($C$3&amp;"-"&amp;$D51,Import!$C:$H,6,FALSE)=0,"",VLOOKUP($C$3&amp;"-"&amp;$D51,Import!$C:$H,6,FALSE))</f>
        <v/>
      </c>
      <c r="T51" s="157"/>
      <c r="U51" s="256"/>
    </row>
    <row r="52" spans="1:21" s="300" customFormat="1" ht="34.950000000000003" customHeight="1" x14ac:dyDescent="0.2">
      <c r="A52" s="309"/>
      <c r="B52" s="390"/>
      <c r="C52" s="1227"/>
      <c r="D52" s="407" t="s">
        <v>277</v>
      </c>
      <c r="E52" s="514" t="str">
        <f>IF(VLOOKUP(CONCATENATE($C$3,"-",$D52),Languages!$A:$D,1,TRUE)=CONCATENATE($C$3,"-",$D52),VLOOKUP(CONCATENATE($C$3,"-",$D52),Languages!$A:$D,Summary!$C$7,TRUE),NA())</f>
        <v>Pääsyoikeuksien käyttöä seurataan ja niistä pyritään tunnistamaan mahdollisia kybertapahtumia.</v>
      </c>
      <c r="F52" s="403">
        <f t="shared" si="2"/>
        <v>0</v>
      </c>
      <c r="G52" s="489"/>
      <c r="H52" s="484"/>
      <c r="I52" s="484"/>
      <c r="J52" s="484"/>
      <c r="K52" s="493"/>
      <c r="L52" s="157"/>
      <c r="M52" s="256"/>
      <c r="N52" s="152"/>
      <c r="O52" s="996" t="str">
        <f>VLOOKUP(VLOOKUP($C$3&amp;"-"&amp;$D52,Import!$C:$D,2,FALSE),Parameters!$C$18:$F$22,Summary!$C$7,FALSE)</f>
        <v xml:space="preserve">0 - Vastaus puuttuu </v>
      </c>
      <c r="P52" s="1024" t="str">
        <f>IF(VLOOKUP($C$3&amp;"-"&amp;$D52,Import!$C:$H,3,FALSE)=0,"",VLOOKUP($C$3&amp;"-"&amp;$D52,Import!$C:$H,3,FALSE))</f>
        <v/>
      </c>
      <c r="Q52" s="1024" t="str">
        <f>IF(VLOOKUP($C$3&amp;"-"&amp;$D52,Import!$C:$H,4,FALSE)=0,"",VLOOKUP($C$3&amp;"-"&amp;$D52,Import!$C:$H,4,FALSE))</f>
        <v/>
      </c>
      <c r="R52" s="1024" t="str">
        <f>IF(VLOOKUP($C$3&amp;"-"&amp;$D52,Import!$C:$H,5,FALSE)=0,"",VLOOKUP($C$3&amp;"-"&amp;$D52,Import!$C:$H,5,FALSE))</f>
        <v/>
      </c>
      <c r="S52" s="1025" t="str">
        <f>IF(VLOOKUP($C$3&amp;"-"&amp;$D52,Import!$C:$H,6,FALSE)=0,"",VLOOKUP($C$3&amp;"-"&amp;$D52,Import!$C:$H,6,FALSE))</f>
        <v/>
      </c>
      <c r="T52" s="157"/>
      <c r="U52" s="256"/>
    </row>
    <row r="53" spans="1:21" s="180" customFormat="1" ht="30" customHeight="1" x14ac:dyDescent="0.25">
      <c r="A53" s="169"/>
      <c r="B53" s="273"/>
      <c r="C53" s="173">
        <v>4</v>
      </c>
      <c r="D53" s="173" t="str">
        <f>IF(VLOOKUP(CONCATENATE($C$3,"-",C53),Languages!$A:$D,1,TRUE)=CONCATENATE($C$3,"-",C53),VLOOKUP(CONCATENATE($C$3,"-",C53),Languages!$A:$D,Summary!$C$7,TRUE),NA())</f>
        <v>Yleisiä hallintatoimia</v>
      </c>
      <c r="E53" s="173"/>
      <c r="F53" s="296"/>
      <c r="G53" s="1006"/>
      <c r="H53" s="1030"/>
      <c r="I53" s="1030"/>
      <c r="J53" s="1030"/>
      <c r="K53" s="1030"/>
      <c r="L53" s="157"/>
      <c r="M53" s="256"/>
      <c r="N53" s="152"/>
      <c r="O53" s="296"/>
      <c r="P53" s="297"/>
      <c r="Q53" s="297"/>
      <c r="R53" s="297"/>
      <c r="S53" s="297"/>
      <c r="T53" s="157"/>
      <c r="U53" s="256"/>
    </row>
    <row r="54" spans="1:21" s="289" customFormat="1" ht="19.95" customHeight="1" x14ac:dyDescent="0.2">
      <c r="A54" s="308"/>
      <c r="B54" s="283"/>
      <c r="C54" s="284" t="str">
        <f>IF(VLOOKUP("GEN-LEVEL",Languages!$A:$D,1,TRUE)="GEN-LEVEL",VLOOKUP("GEN-LEVEL",Languages!$A:$D,Summary!$C$7,TRUE),NA())</f>
        <v>Taso</v>
      </c>
      <c r="D54" s="284"/>
      <c r="E54" s="285" t="str">
        <f>IF(VLOOKUP("GEN-PRACTICE",Languages!$A:$D,1,TRUE)="GEN-PRACTICE",VLOOKUP("GEN-PRACTICE",Languages!$A:$D,Summary!$C$7,TRUE),NA())</f>
        <v>Käytäntö</v>
      </c>
      <c r="F54" s="286"/>
      <c r="G54" s="1003" t="str">
        <f>IF(VLOOKUP("GEN-ANSWER",Languages!$A:$D,1,TRUE)="GEN-ANSWER",VLOOKUP("GEN-ANSWER",Languages!$A:$D,Summary!$C$7,TRUE),NA())</f>
        <v>Vastaus</v>
      </c>
      <c r="H54" s="1004" t="str">
        <f>IF(VLOOKUP("KM112",Languages!$A:$D,1,TRUE)="KM112",VLOOKUP("KM112",Languages!$A:$D,Summary!$C$7,TRUE),NA())</f>
        <v>Kommentit</v>
      </c>
      <c r="I54" s="1004" t="str">
        <f>IF(VLOOKUP("KM113",Languages!$A:$D,1,TRUE)="KM113",VLOOKUP("KM113",Languages!$A:$D,Summary!$C$7,TRUE),NA())</f>
        <v>Sisäinen viittaus</v>
      </c>
      <c r="J54" s="1004" t="str">
        <f>IF(VLOOKUP("KM114",Languages!$A:$D,1,TRUE)="KM114",VLOOKUP("KM114",Languages!$A:$D,Summary!$C$7,TRUE),NA())</f>
        <v>Ulkoinen viittaus</v>
      </c>
      <c r="K54" s="1004" t="str">
        <f>IF(VLOOKUP("KM115",Languages!$A:$D,1,TRUE)="KM115",VLOOKUP("KM115",Languages!$A:$D,Summary!$C$7,TRUE),NA())</f>
        <v>Kehityskohde</v>
      </c>
      <c r="L54" s="287"/>
      <c r="M54" s="288"/>
      <c r="N54" s="283"/>
      <c r="O54" s="503" t="str">
        <f>IF(VLOOKUP("GEN-ANSWER",Languages!$A:$D,1,TRUE)="GEN-ANSWER",VLOOKUP("GEN-ANSWER",Languages!$A:$D,Summary!$C$7,TRUE),NA())</f>
        <v>Vastaus</v>
      </c>
      <c r="P54" s="503" t="str">
        <f>IF(VLOOKUP("KM112",Languages!$A:$D,1,TRUE)="KM112",VLOOKUP("KM112",Languages!$A:$D,Summary!$C$7,TRUE),NA())</f>
        <v>Kommentit</v>
      </c>
      <c r="Q54" s="503" t="str">
        <f>IF(VLOOKUP("KM113",Languages!$A:$D,1,TRUE)="KM113",VLOOKUP("KM113",Languages!$A:$D,Summary!$C$7,TRUE),NA())</f>
        <v>Sisäinen viittaus</v>
      </c>
      <c r="R54" s="503" t="str">
        <f>IF(VLOOKUP("KM114",Languages!$A:$D,1,TRUE)="KM114",VLOOKUP("KM114",Languages!$A:$D,Summary!$C$7,TRUE),NA())</f>
        <v>Ulkoinen viittaus</v>
      </c>
      <c r="S54" s="503" t="str">
        <f>IF(VLOOKUP("KM115",Languages!$A:$D,1,TRUE)="KM115",VLOOKUP("KM115",Languages!$A:$D,Summary!$C$7,TRUE),NA())</f>
        <v>Kehityskohde</v>
      </c>
      <c r="T54" s="287"/>
      <c r="U54" s="288"/>
    </row>
    <row r="55" spans="1:21" s="315" customFormat="1" ht="19.95" customHeight="1" x14ac:dyDescent="0.2">
      <c r="A55" s="288"/>
      <c r="B55" s="283"/>
      <c r="C55" s="497">
        <v>1</v>
      </c>
      <c r="D55" s="412"/>
      <c r="E55" s="413"/>
      <c r="F55" s="415"/>
      <c r="G55" s="1007"/>
      <c r="H55" s="1008"/>
      <c r="I55" s="1008"/>
      <c r="J55" s="1008"/>
      <c r="K55" s="1009"/>
      <c r="L55" s="157"/>
      <c r="M55" s="256"/>
      <c r="N55" s="152"/>
      <c r="O55" s="562"/>
      <c r="P55" s="414"/>
      <c r="Q55" s="414"/>
      <c r="R55" s="414"/>
      <c r="S55" s="416"/>
      <c r="T55" s="157"/>
      <c r="U55" s="256"/>
    </row>
    <row r="56" spans="1:21" s="300" customFormat="1" ht="34.950000000000003" customHeight="1" x14ac:dyDescent="0.2">
      <c r="A56" s="309"/>
      <c r="B56" s="1213"/>
      <c r="C56" s="1224">
        <v>2</v>
      </c>
      <c r="D56" s="406" t="s">
        <v>123</v>
      </c>
      <c r="E56" s="507" t="str">
        <f>IF(VLOOKUP(CONCATENATE($C$3,"-",$D56),Languages!$A:$D,1,TRUE)=CONCATENATE($C$3,"-",$D56),VLOOKUP(CONCATENATE($C$3,"-",$D56),Languages!$A:$D,Summary!$C$7,TRUE),NA())</f>
        <v>ACCESS-osion toimintaa varten on määritetty dokumentoidut toimintatavat, joita noudatetaan ja päivitetään säännöllisesti.</v>
      </c>
      <c r="F56" s="396">
        <f t="shared" ref="F56:F61" si="3">IFERROR(INT(LEFT($G56,1)),0)</f>
        <v>0</v>
      </c>
      <c r="G56" s="485"/>
      <c r="H56" s="482"/>
      <c r="I56" s="482"/>
      <c r="J56" s="482"/>
      <c r="K56" s="491"/>
      <c r="L56" s="157"/>
      <c r="M56" s="256"/>
      <c r="N56" s="152"/>
      <c r="O56" s="988" t="str">
        <f>VLOOKUP(VLOOKUP($C$3&amp;"-"&amp;$D56,Import!$C:$D,2,FALSE),Parameters!$C$18:$F$22,Summary!$C$7,FALSE)</f>
        <v xml:space="preserve">0 - Vastaus puuttuu </v>
      </c>
      <c r="P56" s="1022" t="str">
        <f>IF(VLOOKUP($C$3&amp;"-"&amp;$D56,Import!$C:$H,3,FALSE)=0,"",VLOOKUP($C$3&amp;"-"&amp;$D56,Import!$C:$H,3,FALSE))</f>
        <v/>
      </c>
      <c r="Q56" s="1022" t="str">
        <f>IF(VLOOKUP($C$3&amp;"-"&amp;$D56,Import!$C:$H,4,FALSE)=0,"",VLOOKUP($C$3&amp;"-"&amp;$D56,Import!$C:$H,4,FALSE))</f>
        <v/>
      </c>
      <c r="R56" s="1022" t="str">
        <f>IF(VLOOKUP($C$3&amp;"-"&amp;$D56,Import!$C:$H,5,FALSE)=0,"",VLOOKUP($C$3&amp;"-"&amp;$D56,Import!$C:$H,5,FALSE))</f>
        <v/>
      </c>
      <c r="S56" s="1023" t="str">
        <f>IF(VLOOKUP($C$3&amp;"-"&amp;$D56,Import!$C:$H,6,FALSE)=0,"",VLOOKUP($C$3&amp;"-"&amp;$D56,Import!$C:$H,6,FALSE))</f>
        <v/>
      </c>
      <c r="T56" s="157"/>
      <c r="U56" s="256"/>
    </row>
    <row r="57" spans="1:21" s="300" customFormat="1" ht="34.950000000000003" customHeight="1" x14ac:dyDescent="0.2">
      <c r="A57" s="309"/>
      <c r="B57" s="1213"/>
      <c r="C57" s="1225"/>
      <c r="D57" s="407" t="s">
        <v>126</v>
      </c>
      <c r="E57" s="514" t="str">
        <f>IF(VLOOKUP(CONCATENATE($C$3,"-",$D57),Languages!$A:$D,1,TRUE)=CONCATENATE($C$3,"-",$D57),VLOOKUP(CONCATENATE($C$3,"-",$D57),Languages!$A:$D,Summary!$C$7,TRUE),NA())</f>
        <v>ACCESS-osion toimintaa varten on tarjolla riittävät resurssit (henkilöstö, rahoitus ja työkalut).</v>
      </c>
      <c r="F57" s="403">
        <f t="shared" si="3"/>
        <v>0</v>
      </c>
      <c r="G57" s="489"/>
      <c r="H57" s="484"/>
      <c r="I57" s="484"/>
      <c r="J57" s="484"/>
      <c r="K57" s="493"/>
      <c r="L57" s="157"/>
      <c r="M57" s="256"/>
      <c r="N57" s="152"/>
      <c r="O57" s="996" t="str">
        <f>VLOOKUP(VLOOKUP($C$3&amp;"-"&amp;$D57,Import!$C:$D,2,FALSE),Parameters!$C$18:$F$22,Summary!$C$7,FALSE)</f>
        <v xml:space="preserve">0 - Vastaus puuttuu </v>
      </c>
      <c r="P57" s="1024" t="str">
        <f>IF(VLOOKUP($C$3&amp;"-"&amp;$D57,Import!$C:$H,3,FALSE)=0,"",VLOOKUP($C$3&amp;"-"&amp;$D57,Import!$C:$H,3,FALSE))</f>
        <v/>
      </c>
      <c r="Q57" s="1024" t="str">
        <f>IF(VLOOKUP($C$3&amp;"-"&amp;$D57,Import!$C:$H,4,FALSE)=0,"",VLOOKUP($C$3&amp;"-"&amp;$D57,Import!$C:$H,4,FALSE))</f>
        <v/>
      </c>
      <c r="R57" s="1024" t="str">
        <f>IF(VLOOKUP($C$3&amp;"-"&amp;$D57,Import!$C:$H,5,FALSE)=0,"",VLOOKUP($C$3&amp;"-"&amp;$D57,Import!$C:$H,5,FALSE))</f>
        <v/>
      </c>
      <c r="S57" s="1025" t="str">
        <f>IF(VLOOKUP($C$3&amp;"-"&amp;$D57,Import!$C:$H,6,FALSE)=0,"",VLOOKUP($C$3&amp;"-"&amp;$D57,Import!$C:$H,6,FALSE))</f>
        <v/>
      </c>
      <c r="T57" s="157"/>
      <c r="U57" s="256"/>
    </row>
    <row r="58" spans="1:21" s="300" customFormat="1" ht="45" customHeight="1" x14ac:dyDescent="0.2">
      <c r="A58" s="309"/>
      <c r="B58" s="1213"/>
      <c r="C58" s="1226">
        <v>3</v>
      </c>
      <c r="D58" s="406" t="s">
        <v>129</v>
      </c>
      <c r="E58" s="507" t="str">
        <f>IF(VLOOKUP(CONCATENATE($C$3,"-",$D58),Languages!$A:$D,1,TRUE)=CONCATENATE($C$3,"-",$D58),VLOOKUP(CONCATENATE($C$3,"-",$D58),Languages!$A:$D,Summary!$C$7,TRUE),NA())</f>
        <v>ACCESS-osion toimintaa ohjataan vaatimuksilla, jotka on asetettu organisaation johtotason politiikassa (tai vastaavassa ohjeistuksessa).</v>
      </c>
      <c r="F58" s="396">
        <f t="shared" si="3"/>
        <v>0</v>
      </c>
      <c r="G58" s="485"/>
      <c r="H58" s="482"/>
      <c r="I58" s="482"/>
      <c r="J58" s="482"/>
      <c r="K58" s="491"/>
      <c r="L58" s="157"/>
      <c r="M58" s="256"/>
      <c r="N58" s="152"/>
      <c r="O58" s="988" t="str">
        <f>VLOOKUP(VLOOKUP($C$3&amp;"-"&amp;$D58,Import!$C:$D,2,FALSE),Parameters!$C$18:$F$22,Summary!$C$7,FALSE)</f>
        <v xml:space="preserve">0 - Vastaus puuttuu </v>
      </c>
      <c r="P58" s="1022" t="str">
        <f>IF(VLOOKUP($C$3&amp;"-"&amp;$D58,Import!$C:$H,3,FALSE)=0,"",VLOOKUP($C$3&amp;"-"&amp;$D58,Import!$C:$H,3,FALSE))</f>
        <v/>
      </c>
      <c r="Q58" s="1022" t="str">
        <f>IF(VLOOKUP($C$3&amp;"-"&amp;$D58,Import!$C:$H,4,FALSE)=0,"",VLOOKUP($C$3&amp;"-"&amp;$D58,Import!$C:$H,4,FALSE))</f>
        <v/>
      </c>
      <c r="R58" s="1022" t="str">
        <f>IF(VLOOKUP($C$3&amp;"-"&amp;$D58,Import!$C:$H,5,FALSE)=0,"",VLOOKUP($C$3&amp;"-"&amp;$D58,Import!$C:$H,5,FALSE))</f>
        <v/>
      </c>
      <c r="S58" s="1023" t="str">
        <f>IF(VLOOKUP($C$3&amp;"-"&amp;$D58,Import!$C:$H,6,FALSE)=0,"",VLOOKUP($C$3&amp;"-"&amp;$D58,Import!$C:$H,6,FALSE))</f>
        <v/>
      </c>
      <c r="T58" s="157"/>
      <c r="U58" s="256"/>
    </row>
    <row r="59" spans="1:21" s="300" customFormat="1" ht="34.950000000000003" customHeight="1" x14ac:dyDescent="0.2">
      <c r="A59" s="309"/>
      <c r="B59" s="1213"/>
      <c r="C59" s="1228"/>
      <c r="D59" s="298" t="s">
        <v>132</v>
      </c>
      <c r="E59" s="508" t="str">
        <f>IF(VLOOKUP(CONCATENATE($C$3,"-",$D59),Languages!$A:$D,1,TRUE)=CONCATENATE($C$3,"-",$D59),VLOOKUP(CONCATENATE($C$3,"-",$D59),Languages!$A:$D,Summary!$C$7,TRUE),NA())</f>
        <v>ACCESS-osion toimintaa suorittavilla työntekijöillä on riittävät tiedot ja taidot tehtäviensä suorittamiseen.</v>
      </c>
      <c r="F59" s="291">
        <f t="shared" si="3"/>
        <v>0</v>
      </c>
      <c r="G59" s="311"/>
      <c r="H59" s="483"/>
      <c r="I59" s="483"/>
      <c r="J59" s="483"/>
      <c r="K59" s="492"/>
      <c r="L59" s="157"/>
      <c r="M59" s="256"/>
      <c r="N59" s="152"/>
      <c r="O59" s="991" t="str">
        <f>VLOOKUP(VLOOKUP($C$3&amp;"-"&amp;$D59,Import!$C:$D,2,FALSE),Parameters!$C$18:$F$22,Summary!$C$7,FALSE)</f>
        <v xml:space="preserve">0 - Vastaus puuttuu </v>
      </c>
      <c r="P59" s="1017" t="str">
        <f>IF(VLOOKUP($C$3&amp;"-"&amp;$D59,Import!$C:$H,3,FALSE)=0,"",VLOOKUP($C$3&amp;"-"&amp;$D59,Import!$C:$H,3,FALSE))</f>
        <v/>
      </c>
      <c r="Q59" s="1017" t="str">
        <f>IF(VLOOKUP($C$3&amp;"-"&amp;$D59,Import!$C:$H,4,FALSE)=0,"",VLOOKUP($C$3&amp;"-"&amp;$D59,Import!$C:$H,4,FALSE))</f>
        <v/>
      </c>
      <c r="R59" s="1017" t="str">
        <f>IF(VLOOKUP($C$3&amp;"-"&amp;$D59,Import!$C:$H,5,FALSE)=0,"",VLOOKUP($C$3&amp;"-"&amp;$D59,Import!$C:$H,5,FALSE))</f>
        <v/>
      </c>
      <c r="S59" s="1018" t="str">
        <f>IF(VLOOKUP($C$3&amp;"-"&amp;$D59,Import!$C:$H,6,FALSE)=0,"",VLOOKUP($C$3&amp;"-"&amp;$D59,Import!$C:$H,6,FALSE))</f>
        <v/>
      </c>
      <c r="T59" s="157"/>
      <c r="U59" s="256"/>
    </row>
    <row r="60" spans="1:21" s="300" customFormat="1" ht="43.2" customHeight="1" x14ac:dyDescent="0.2">
      <c r="A60" s="309"/>
      <c r="B60" s="1213"/>
      <c r="C60" s="1228"/>
      <c r="D60" s="298" t="s">
        <v>135</v>
      </c>
      <c r="E60" s="508" t="str">
        <f>IF(VLOOKUP(CONCATENATE($C$3,"-",$D60),Languages!$A:$D,1,TRUE)=CONCATENATE($C$3,"-",$D60),VLOOKUP(CONCATENATE($C$3,"-",$D60),Languages!$A:$D,Summary!$C$7,TRUE),NA())</f>
        <v>ACCESS-osion toiminnan suorittamiseen tarvittavat vastuut, tilivelvollisuudet ja valtuutukset on jalkautettu soveltuville työntekijöille.</v>
      </c>
      <c r="F60" s="291">
        <f t="shared" si="3"/>
        <v>0</v>
      </c>
      <c r="G60" s="311"/>
      <c r="H60" s="483"/>
      <c r="I60" s="483"/>
      <c r="J60" s="483"/>
      <c r="K60" s="492"/>
      <c r="L60" s="157"/>
      <c r="M60" s="256"/>
      <c r="N60" s="152"/>
      <c r="O60" s="991" t="str">
        <f>VLOOKUP(VLOOKUP($C$3&amp;"-"&amp;$D60,Import!$C:$D,2,FALSE),Parameters!$C$18:$F$22,Summary!$C$7,FALSE)</f>
        <v xml:space="preserve">0 - Vastaus puuttuu </v>
      </c>
      <c r="P60" s="1017" t="str">
        <f>IF(VLOOKUP($C$3&amp;"-"&amp;$D60,Import!$C:$H,3,FALSE)=0,"",VLOOKUP($C$3&amp;"-"&amp;$D60,Import!$C:$H,3,FALSE))</f>
        <v/>
      </c>
      <c r="Q60" s="1017" t="str">
        <f>IF(VLOOKUP($C$3&amp;"-"&amp;$D60,Import!$C:$H,4,FALSE)=0,"",VLOOKUP($C$3&amp;"-"&amp;$D60,Import!$C:$H,4,FALSE))</f>
        <v/>
      </c>
      <c r="R60" s="1017" t="str">
        <f>IF(VLOOKUP($C$3&amp;"-"&amp;$D60,Import!$C:$H,5,FALSE)=0,"",VLOOKUP($C$3&amp;"-"&amp;$D60,Import!$C:$H,5,FALSE))</f>
        <v/>
      </c>
      <c r="S60" s="1018" t="str">
        <f>IF(VLOOKUP($C$3&amp;"-"&amp;$D60,Import!$C:$H,6,FALSE)=0,"",VLOOKUP($C$3&amp;"-"&amp;$D60,Import!$C:$H,6,FALSE))</f>
        <v/>
      </c>
      <c r="T60" s="157"/>
      <c r="U60" s="256"/>
    </row>
    <row r="61" spans="1:21" s="300" customFormat="1" ht="34.950000000000003" customHeight="1" x14ac:dyDescent="0.2">
      <c r="A61" s="309"/>
      <c r="B61" s="1213"/>
      <c r="C61" s="1227"/>
      <c r="D61" s="407" t="s">
        <v>137</v>
      </c>
      <c r="E61" s="514" t="str">
        <f>IF(VLOOKUP(CONCATENATE($C$3,"-",$D61),Languages!$A:$D,1,TRUE)=CONCATENATE($C$3,"-",$D61),VLOOKUP(CONCATENATE($C$3,"-",$D61),Languages!$A:$D,Summary!$C$7,TRUE),NA())</f>
        <v>ACCESS-osion toiminnan vaikuttavuutta arvioidaan ja seurataan.</v>
      </c>
      <c r="F61" s="403">
        <f t="shared" si="3"/>
        <v>0</v>
      </c>
      <c r="G61" s="489"/>
      <c r="H61" s="484"/>
      <c r="I61" s="484"/>
      <c r="J61" s="484"/>
      <c r="K61" s="493"/>
      <c r="L61" s="157"/>
      <c r="M61" s="256"/>
      <c r="N61" s="152"/>
      <c r="O61" s="996" t="str">
        <f>VLOOKUP(VLOOKUP($C$3&amp;"-"&amp;$D61,Import!$C:$D,2,FALSE),Parameters!$C$18:$F$22,Summary!$C$7,FALSE)</f>
        <v xml:space="preserve">0 - Vastaus puuttuu </v>
      </c>
      <c r="P61" s="1024" t="str">
        <f>IF(VLOOKUP($C$3&amp;"-"&amp;$D61,Import!$C:$H,3,FALSE)=0,"",VLOOKUP($C$3&amp;"-"&amp;$D61,Import!$C:$H,3,FALSE))</f>
        <v/>
      </c>
      <c r="Q61" s="1024" t="str">
        <f>IF(VLOOKUP($C$3&amp;"-"&amp;$D61,Import!$C:$H,4,FALSE)=0,"",VLOOKUP($C$3&amp;"-"&amp;$D61,Import!$C:$H,4,FALSE))</f>
        <v/>
      </c>
      <c r="R61" s="1024" t="str">
        <f>IF(VLOOKUP($C$3&amp;"-"&amp;$D61,Import!$C:$H,5,FALSE)=0,"",VLOOKUP($C$3&amp;"-"&amp;$D61,Import!$C:$H,5,FALSE))</f>
        <v/>
      </c>
      <c r="S61" s="1025" t="str">
        <f>IF(VLOOKUP($C$3&amp;"-"&amp;$D61,Import!$C:$H,6,FALSE)=0,"",VLOOKUP($C$3&amp;"-"&amp;$D61,Import!$C:$H,6,FALSE))</f>
        <v/>
      </c>
      <c r="T61" s="157"/>
      <c r="U61" s="256"/>
    </row>
    <row r="62" spans="1:21" x14ac:dyDescent="0.2">
      <c r="A62" s="184"/>
      <c r="B62" s="333"/>
      <c r="C62" s="334"/>
      <c r="D62" s="335"/>
      <c r="E62" s="336"/>
      <c r="F62" s="337"/>
      <c r="G62" s="338"/>
      <c r="H62" s="339"/>
      <c r="I62" s="339"/>
      <c r="J62" s="339"/>
      <c r="K62" s="339"/>
      <c r="L62" s="157"/>
      <c r="M62" s="256"/>
      <c r="N62" s="152"/>
      <c r="O62" s="338"/>
      <c r="P62" s="339"/>
      <c r="Q62" s="339"/>
      <c r="R62" s="339"/>
      <c r="S62" s="339"/>
      <c r="T62" s="157"/>
      <c r="U62" s="256"/>
    </row>
    <row r="63" spans="1:21" x14ac:dyDescent="0.25">
      <c r="A63" s="184"/>
      <c r="B63" s="184"/>
      <c r="C63" s="184"/>
      <c r="D63" s="184"/>
      <c r="E63" s="184"/>
      <c r="F63" s="340"/>
      <c r="G63" s="184"/>
      <c r="H63" s="184"/>
      <c r="I63" s="184"/>
      <c r="J63" s="184"/>
      <c r="K63" s="184"/>
      <c r="L63" s="516"/>
      <c r="M63" s="313"/>
      <c r="N63" s="564"/>
      <c r="O63" s="184"/>
      <c r="P63" s="184"/>
      <c r="Q63" s="184"/>
      <c r="R63" s="184"/>
      <c r="S63" s="184"/>
      <c r="T63" s="516"/>
      <c r="U63" s="313"/>
    </row>
    <row r="64" spans="1:21" x14ac:dyDescent="0.25">
      <c r="L64" s="344"/>
      <c r="M64" s="343"/>
      <c r="N64" s="185"/>
      <c r="T64" s="344"/>
      <c r="U64" s="343"/>
    </row>
    <row r="65" spans="12:21" x14ac:dyDescent="0.25">
      <c r="L65" s="344"/>
      <c r="M65" s="343"/>
      <c r="N65" s="185"/>
      <c r="T65" s="344"/>
      <c r="U65" s="343"/>
    </row>
    <row r="66" spans="12:21" x14ac:dyDescent="0.25">
      <c r="L66" s="344"/>
      <c r="M66" s="343"/>
      <c r="N66" s="185"/>
      <c r="T66" s="344"/>
      <c r="U66" s="343"/>
    </row>
    <row r="67" spans="12:21" x14ac:dyDescent="0.25">
      <c r="L67" s="344"/>
      <c r="M67" s="343"/>
      <c r="N67" s="185"/>
      <c r="T67" s="344"/>
      <c r="U67" s="343"/>
    </row>
    <row r="68" spans="12:21" x14ac:dyDescent="0.25">
      <c r="L68" s="344"/>
      <c r="M68" s="343"/>
      <c r="N68" s="185"/>
      <c r="T68" s="344"/>
      <c r="U68" s="343"/>
    </row>
    <row r="69" spans="12:21" x14ac:dyDescent="0.25">
      <c r="L69" s="344"/>
      <c r="M69" s="343"/>
      <c r="N69" s="185"/>
      <c r="T69" s="344"/>
      <c r="U69" s="343"/>
    </row>
    <row r="70" spans="12:21" x14ac:dyDescent="0.25">
      <c r="L70" s="344"/>
      <c r="M70" s="343"/>
      <c r="N70" s="185"/>
      <c r="T70" s="344"/>
      <c r="U70" s="343"/>
    </row>
    <row r="71" spans="12:21" x14ac:dyDescent="0.25">
      <c r="L71" s="344"/>
      <c r="M71" s="343"/>
      <c r="N71" s="185"/>
      <c r="T71" s="344"/>
      <c r="U71" s="343"/>
    </row>
    <row r="72" spans="12:21" x14ac:dyDescent="0.25">
      <c r="L72" s="344"/>
      <c r="M72" s="343"/>
      <c r="N72" s="185"/>
      <c r="T72" s="344"/>
      <c r="U72" s="343"/>
    </row>
    <row r="73" spans="12:21" x14ac:dyDescent="0.25">
      <c r="L73" s="344"/>
      <c r="M73" s="343"/>
      <c r="N73" s="185"/>
      <c r="T73" s="344"/>
      <c r="U73" s="343"/>
    </row>
    <row r="74" spans="12:21" x14ac:dyDescent="0.25">
      <c r="L74" s="344"/>
      <c r="M74" s="343"/>
      <c r="N74" s="185"/>
      <c r="T74" s="344"/>
      <c r="U74" s="343"/>
    </row>
    <row r="75" spans="12:21" x14ac:dyDescent="0.25">
      <c r="L75" s="344"/>
      <c r="M75" s="343"/>
      <c r="N75" s="185"/>
      <c r="T75" s="344"/>
      <c r="U75" s="343"/>
    </row>
  </sheetData>
  <sheetProtection sheet="1" formatCells="0" formatColumns="0" formatRows="0"/>
  <mergeCells count="26">
    <mergeCell ref="C27:C29"/>
    <mergeCell ref="C6:K6"/>
    <mergeCell ref="B26:B29"/>
    <mergeCell ref="B24:B25"/>
    <mergeCell ref="C13:K13"/>
    <mergeCell ref="I8:J8"/>
    <mergeCell ref="I10:J11"/>
    <mergeCell ref="C15:K15"/>
    <mergeCell ref="C17:K17"/>
    <mergeCell ref="C19:K19"/>
    <mergeCell ref="O3:S19"/>
    <mergeCell ref="C47:C50"/>
    <mergeCell ref="B60:B61"/>
    <mergeCell ref="B56:B59"/>
    <mergeCell ref="B33:B34"/>
    <mergeCell ref="B35:B40"/>
    <mergeCell ref="B44:B45"/>
    <mergeCell ref="B46:B51"/>
    <mergeCell ref="C56:C57"/>
    <mergeCell ref="C58:C61"/>
    <mergeCell ref="C51:C52"/>
    <mergeCell ref="C40:C41"/>
    <mergeCell ref="C44:C46"/>
    <mergeCell ref="C33:C34"/>
    <mergeCell ref="C24:C26"/>
    <mergeCell ref="C35:C39"/>
  </mergeCells>
  <conditionalFormatting sqref="F4:F5 F53 F31 F12 F7:F9 F24:F29 F33:F40 F55:F1048576">
    <cfRule type="containsText" dxfId="216" priority="36" operator="containsText" text="0">
      <formula>NOT(ISERROR(SEARCH("0",F4)))</formula>
    </cfRule>
  </conditionalFormatting>
  <conditionalFormatting sqref="F42 F44:F51">
    <cfRule type="containsText" dxfId="215" priority="31" operator="containsText" text="0">
      <formula>NOT(ISERROR(SEARCH("0",F42)))</formula>
    </cfRule>
  </conditionalFormatting>
  <conditionalFormatting sqref="F41">
    <cfRule type="containsText" dxfId="214" priority="29" operator="containsText" text="0">
      <formula>NOT(ISERROR(SEARCH("0",F41)))</formula>
    </cfRule>
  </conditionalFormatting>
  <conditionalFormatting sqref="F52">
    <cfRule type="containsText" dxfId="213" priority="27" operator="containsText" text="0">
      <formula>NOT(ISERROR(SEARCH("0",F52)))</formula>
    </cfRule>
  </conditionalFormatting>
  <conditionalFormatting sqref="F30">
    <cfRule type="containsText" dxfId="212" priority="24" operator="containsText" text="0">
      <formula>NOT(ISERROR(SEARCH("0",F30)))</formula>
    </cfRule>
  </conditionalFormatting>
  <conditionalFormatting sqref="F10:F11">
    <cfRule type="containsText" dxfId="211" priority="22" operator="containsText" text="0">
      <formula>NOT(ISERROR(SEARCH("0",F10)))</formula>
    </cfRule>
  </conditionalFormatting>
  <conditionalFormatting sqref="F1 F3">
    <cfRule type="containsText" dxfId="210" priority="18" operator="containsText" text="0">
      <formula>NOT(ISERROR(SEARCH("0",F1)))</formula>
    </cfRule>
  </conditionalFormatting>
  <conditionalFormatting sqref="F2">
    <cfRule type="containsText" dxfId="209" priority="17" operator="containsText" text="0">
      <formula>NOT(ISERROR(SEARCH("0",F2)))</formula>
    </cfRule>
  </conditionalFormatting>
  <conditionalFormatting sqref="F54">
    <cfRule type="containsText" dxfId="208" priority="15" operator="containsText" text="0">
      <formula>NOT(ISERROR(SEARCH("0",F54)))</formula>
    </cfRule>
  </conditionalFormatting>
  <conditionalFormatting sqref="F43">
    <cfRule type="containsText" dxfId="207" priority="13" operator="containsText" text="0">
      <formula>NOT(ISERROR(SEARCH("0",F43)))</formula>
    </cfRule>
  </conditionalFormatting>
  <conditionalFormatting sqref="F32">
    <cfRule type="containsText" dxfId="206" priority="11" operator="containsText" text="0">
      <formula>NOT(ISERROR(SEARCH("0",F32)))</formula>
    </cfRule>
  </conditionalFormatting>
  <conditionalFormatting sqref="F23">
    <cfRule type="containsText" dxfId="205" priority="9" operator="containsText" text="0">
      <formula>NOT(ISERROR(SEARCH("0",F23)))</formula>
    </cfRule>
  </conditionalFormatting>
  <conditionalFormatting sqref="F14">
    <cfRule type="containsText" dxfId="204" priority="8" operator="containsText" text="0">
      <formula>NOT(ISERROR(SEARCH("0",F14)))</formula>
    </cfRule>
  </conditionalFormatting>
  <conditionalFormatting sqref="F16">
    <cfRule type="containsText" dxfId="203" priority="6" operator="containsText" text="0">
      <formula>NOT(ISERROR(SEARCH("0",F16)))</formula>
    </cfRule>
  </conditionalFormatting>
  <conditionalFormatting sqref="F18">
    <cfRule type="containsText" dxfId="202" priority="4" operator="containsText" text="0">
      <formula>NOT(ISERROR(SEARCH("0",F18)))</formula>
    </cfRule>
  </conditionalFormatting>
  <conditionalFormatting sqref="F22">
    <cfRule type="containsText" dxfId="201" priority="2" operator="containsText" text="0">
      <formula>NOT(ISERROR(SEARCH("0",F22)))</formula>
    </cfRule>
  </conditionalFormatting>
  <pageMargins left="0.7" right="0.7" top="0.75" bottom="0.75" header="0.3" footer="0.3"/>
  <pageSetup paperSize="9" scale="41" orientation="portrait" r:id="rId1"/>
  <rowBreaks count="1" manualBreakCount="1">
    <brk id="41" max="16383" man="1"/>
  </rowBreaks>
  <colBreaks count="1" manualBreakCount="1">
    <brk id="13" max="1048575" man="1"/>
  </colBreaks>
  <ignoredErrors>
    <ignoredError sqref="O29 P32:S32 P43:S43 O61 O24 O25 O26 O27 O28 O41 O33 O34 O35 O36 O37 O38 O39 O40 O52 O44 O45 O46 O47 O48 O49 O50 O51 O56 O57 O58 O59 O60 P24:S29 P33:S41 P44:S52 P56:S61" unlockedFormula="1"/>
  </ignoredErrors>
  <drawing r:id="rId2"/>
  <extLst>
    <ext xmlns:x14="http://schemas.microsoft.com/office/spreadsheetml/2009/9/main" uri="{78C0D931-6437-407d-A8EE-F0AAD7539E65}">
      <x14:conditionalFormattings>
        <x14:conditionalFormatting xmlns:xm="http://schemas.microsoft.com/office/excel/2006/main">
          <x14:cfRule type="iconSet" priority="37" id="{C9F9FD20-98D7-4FC5-BB0D-9549F77058F0}">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F55</xm:sqref>
        </x14:conditionalFormatting>
        <x14:conditionalFormatting xmlns:xm="http://schemas.microsoft.com/office/excel/2006/main">
          <x14:cfRule type="iconSet" priority="35" id="{E38E2DAA-D23E-4039-AAA5-1F8BD2F37A59}">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F55:F1048576 F53 F4:F5 F31 F12 F7:F9 F24:F29 F33:F40</xm:sqref>
        </x14:conditionalFormatting>
        <x14:conditionalFormatting xmlns:xm="http://schemas.microsoft.com/office/excel/2006/main">
          <x14:cfRule type="iconSet" priority="30" id="{41F69F2B-659F-4A52-BE0E-C11FC8452327}">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F44:F51 F42</xm:sqref>
        </x14:conditionalFormatting>
        <x14:conditionalFormatting xmlns:xm="http://schemas.microsoft.com/office/excel/2006/main">
          <x14:cfRule type="iconSet" priority="28" id="{6CB768D2-5C5C-481F-8F6E-34BA5A8680CE}">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F41</xm:sqref>
        </x14:conditionalFormatting>
        <x14:conditionalFormatting xmlns:xm="http://schemas.microsoft.com/office/excel/2006/main">
          <x14:cfRule type="iconSet" priority="26" id="{5887BDC4-29DC-421A-88DA-DEC652CE301A}">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F52</xm:sqref>
        </x14:conditionalFormatting>
        <x14:conditionalFormatting xmlns:xm="http://schemas.microsoft.com/office/excel/2006/main">
          <x14:cfRule type="iconSet" priority="25" id="{B7F8525B-94CE-46BA-8CC5-98166FB9A9AC}">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F30</xm:sqref>
        </x14:conditionalFormatting>
        <x14:conditionalFormatting xmlns:xm="http://schemas.microsoft.com/office/excel/2006/main">
          <x14:cfRule type="iconSet" priority="23" id="{F0CADB99-3834-4446-91AA-55A4F870D716}">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F30</xm:sqref>
        </x14:conditionalFormatting>
        <x14:conditionalFormatting xmlns:xm="http://schemas.microsoft.com/office/excel/2006/main">
          <x14:cfRule type="iconSet" priority="21" id="{8B4780AD-7A62-40AD-918E-057D1B8758BC}">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F10:F11</xm:sqref>
        </x14:conditionalFormatting>
        <x14:conditionalFormatting xmlns:xm="http://schemas.microsoft.com/office/excel/2006/main">
          <x14:cfRule type="iconSet" priority="19" id="{C9D70AE4-4346-41C1-BEA2-A1D8DF175BE0}">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F3 F1</xm:sqref>
        </x14:conditionalFormatting>
        <x14:conditionalFormatting xmlns:xm="http://schemas.microsoft.com/office/excel/2006/main">
          <x14:cfRule type="iconSet" priority="20" id="{DC54A852-8A8D-4953-BDFF-A608E4480407}">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F2</xm:sqref>
        </x14:conditionalFormatting>
        <x14:conditionalFormatting xmlns:xm="http://schemas.microsoft.com/office/excel/2006/main">
          <x14:cfRule type="iconSet" priority="16" id="{D3D83C84-D876-4292-85FE-FAFC4A9867DA}">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F54</xm:sqref>
        </x14:conditionalFormatting>
        <x14:conditionalFormatting xmlns:xm="http://schemas.microsoft.com/office/excel/2006/main">
          <x14:cfRule type="iconSet" priority="14" id="{F1B26D86-7213-4F2A-954E-8DF269EE17BC}">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F43</xm:sqref>
        </x14:conditionalFormatting>
        <x14:conditionalFormatting xmlns:xm="http://schemas.microsoft.com/office/excel/2006/main">
          <x14:cfRule type="iconSet" priority="12" id="{923EB51E-72BF-4D70-9C73-218BD9800561}">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F32</xm:sqref>
        </x14:conditionalFormatting>
        <x14:conditionalFormatting xmlns:xm="http://schemas.microsoft.com/office/excel/2006/main">
          <x14:cfRule type="iconSet" priority="10" id="{19818590-6435-40C9-A794-32A5571C869A}">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F23</xm:sqref>
        </x14:conditionalFormatting>
        <x14:conditionalFormatting xmlns:xm="http://schemas.microsoft.com/office/excel/2006/main">
          <x14:cfRule type="iconSet" priority="7" id="{57793637-EF27-422F-A119-A9694BE8F9EC}">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F14</xm:sqref>
        </x14:conditionalFormatting>
        <x14:conditionalFormatting xmlns:xm="http://schemas.microsoft.com/office/excel/2006/main">
          <x14:cfRule type="iconSet" priority="5" id="{E975F6F3-BDBA-430B-B169-82644151340D}">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F16</xm:sqref>
        </x14:conditionalFormatting>
        <x14:conditionalFormatting xmlns:xm="http://schemas.microsoft.com/office/excel/2006/main">
          <x14:cfRule type="iconSet" priority="3" id="{9956CDED-C18E-4C21-8220-D9D15AEF8B3A}">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F18</xm:sqref>
        </x14:conditionalFormatting>
        <x14:conditionalFormatting xmlns:xm="http://schemas.microsoft.com/office/excel/2006/main">
          <x14:cfRule type="iconSet" priority="1" id="{F76C249B-FEC2-4628-BC1F-905D41FB964B}">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F22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Parameters!$B$18:$B$22</xm:f>
          </x14:formula1>
          <xm:sqref>G44:G52 G56:G61 G33:G41 G24:G29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2" tint="0.79998168889431442"/>
  </sheetPr>
  <dimension ref="A1:U63"/>
  <sheetViews>
    <sheetView showGridLines="0" zoomScale="80" zoomScaleNormal="80" zoomScaleSheetLayoutView="70" workbookViewId="0"/>
  </sheetViews>
  <sheetFormatPr defaultColWidth="9.26953125" defaultRowHeight="13.8" x14ac:dyDescent="0.25"/>
  <cols>
    <col min="1" max="2" width="1.6328125" style="187" customWidth="1"/>
    <col min="3" max="3" width="2.6328125" style="187" customWidth="1"/>
    <col min="4" max="4" width="3.1796875" style="341" customWidth="1"/>
    <col min="5" max="5" width="55.6328125" style="187" customWidth="1"/>
    <col min="6" max="6" width="2.6328125" style="327" customWidth="1"/>
    <col min="7" max="7" width="14.6328125" style="314" customWidth="1"/>
    <col min="8" max="8" width="30.6328125" customWidth="1"/>
    <col min="9" max="9" width="20.6328125" customWidth="1"/>
    <col min="10" max="10" width="20.6328125" style="342" customWidth="1"/>
    <col min="11" max="11" width="10.6328125" style="187" customWidth="1"/>
    <col min="12" max="12" width="1.6328125" style="343" customWidth="1"/>
    <col min="13" max="13" width="1.6328125" style="344" customWidth="1"/>
    <col min="14" max="14" width="1.6328125" style="343" customWidth="1"/>
    <col min="15" max="15" width="14.6328125" style="314" customWidth="1"/>
    <col min="16" max="16" width="30.6328125" customWidth="1"/>
    <col min="17" max="17" width="20.6328125" customWidth="1"/>
    <col min="18" max="18" width="20.6328125" style="342" customWidth="1"/>
    <col min="19" max="19" width="10.6328125" style="187" customWidth="1"/>
    <col min="20" max="20" width="1.6328125" style="343" customWidth="1"/>
    <col min="21" max="21" width="1.6328125" style="344" customWidth="1"/>
    <col min="22" max="16384" width="9.26953125" style="187"/>
  </cols>
  <sheetData>
    <row r="1" spans="1:21" s="143" customFormat="1" ht="11.4" x14ac:dyDescent="0.25">
      <c r="A1" s="138"/>
      <c r="B1" s="138"/>
      <c r="C1" s="138"/>
      <c r="D1" s="138"/>
      <c r="E1" s="138"/>
      <c r="F1" s="255"/>
      <c r="G1" s="254"/>
      <c r="H1" s="254"/>
      <c r="I1" s="254"/>
      <c r="J1" s="254"/>
      <c r="K1" s="254"/>
      <c r="L1" s="138"/>
      <c r="M1" s="138"/>
      <c r="N1" s="138"/>
      <c r="O1" s="254"/>
      <c r="P1" s="254"/>
      <c r="Q1" s="254"/>
      <c r="R1" s="254"/>
      <c r="S1" s="254"/>
      <c r="T1" s="138"/>
      <c r="U1" s="138"/>
    </row>
    <row r="2" spans="1:21" s="261" customFormat="1" ht="15" customHeight="1" x14ac:dyDescent="0.2">
      <c r="A2" s="256"/>
      <c r="B2" s="145"/>
      <c r="C2" s="257"/>
      <c r="D2" s="148"/>
      <c r="E2" s="258"/>
      <c r="F2" s="149"/>
      <c r="G2" s="259"/>
      <c r="H2" s="259"/>
      <c r="I2" s="259"/>
      <c r="J2" s="259"/>
      <c r="K2" s="259"/>
      <c r="L2" s="150"/>
      <c r="M2" s="256"/>
      <c r="N2" s="896"/>
      <c r="O2" s="897"/>
      <c r="P2" s="897"/>
      <c r="Q2" s="897"/>
      <c r="R2" s="897"/>
      <c r="S2" s="897"/>
      <c r="T2" s="898"/>
      <c r="U2" s="256"/>
    </row>
    <row r="3" spans="1:21" s="261" customFormat="1" ht="25.05" customHeight="1" x14ac:dyDescent="0.25">
      <c r="A3" s="256"/>
      <c r="B3" s="152"/>
      <c r="C3" s="153" t="s">
        <v>69</v>
      </c>
      <c r="D3" s="154"/>
      <c r="E3" s="436"/>
      <c r="F3" s="155"/>
      <c r="H3" s="272" t="str">
        <f>IF(VLOOKUP("GEN-TOTAL",Languages!$A:$D,1,TRUE)="GEN-TOTAL",VLOOKUP("GEN-TOTAL",Languages!$A:$D,Summary!$C$7,TRUE),NA())</f>
        <v>Kokonaisarvio</v>
      </c>
      <c r="I3" s="156" t="str">
        <f>IF(VLOOKUP("GEN-SEC",Languages!$A:$D,1,TRUE)="GEN-SEC",VLOOKUP("GEN-SEC",Languages!$A:$D,Summary!$C$7,TRUE),NA())</f>
        <v>Tiedon luokittelu</v>
      </c>
      <c r="J3" s="437"/>
      <c r="L3" s="157"/>
      <c r="M3" s="256"/>
      <c r="N3" s="899"/>
      <c r="O3" s="1219" t="str">
        <f>VLOOKUP($C$3,Infoimport!$B$4:$C$14,2,FALSE)</f>
        <v>SITUATION, tiedot Infoimport-välilehdeltä</v>
      </c>
      <c r="P3" s="1219"/>
      <c r="Q3" s="1219"/>
      <c r="R3" s="1219"/>
      <c r="S3" s="1219"/>
      <c r="T3" s="900"/>
      <c r="U3" s="256"/>
    </row>
    <row r="4" spans="1:21" s="322" customFormat="1" ht="25.05" customHeight="1" x14ac:dyDescent="0.3">
      <c r="A4" s="320"/>
      <c r="B4" s="321"/>
      <c r="C4" s="158" t="str">
        <f>IF(VLOOKUP($C$3,Languages!$A:$D,1,TRUE)=$C$3,VLOOKUP($C$3,Languages!$A:$D,Summary!$C$7,TRUE),NA())</f>
        <v>Tilannekuva (SITUATION)</v>
      </c>
      <c r="D4" s="262"/>
      <c r="E4" s="263"/>
      <c r="F4" s="324"/>
      <c r="G4" s="324"/>
      <c r="H4" s="265" t="str">
        <f ca="1">VLOOKUP(VLOOKUP(CONCATENATE($C$3),Data!$K:$O,5,FALSE),Parameters!$C$7:$F$10,Summary!$C$7,FALSE)</f>
        <v>Kypsyystaso 0</v>
      </c>
      <c r="I4" s="781"/>
      <c r="J4" s="266"/>
      <c r="K4" s="261"/>
      <c r="L4" s="157"/>
      <c r="M4" s="256"/>
      <c r="N4" s="899"/>
      <c r="O4" s="1219"/>
      <c r="P4" s="1219"/>
      <c r="Q4" s="1219"/>
      <c r="R4" s="1219"/>
      <c r="S4" s="1219"/>
      <c r="T4" s="900"/>
      <c r="U4" s="256"/>
    </row>
    <row r="5" spans="1:21" ht="10.050000000000001" customHeight="1" x14ac:dyDescent="0.25">
      <c r="A5" s="181"/>
      <c r="B5" s="312"/>
      <c r="C5" s="325"/>
      <c r="D5" s="326"/>
      <c r="E5" s="326"/>
      <c r="F5" s="265"/>
      <c r="G5" s="265"/>
      <c r="I5" s="266"/>
      <c r="J5" s="266"/>
      <c r="K5" s="261"/>
      <c r="L5" s="157"/>
      <c r="M5" s="256"/>
      <c r="N5" s="899"/>
      <c r="O5" s="1219"/>
      <c r="P5" s="1219"/>
      <c r="Q5" s="1219"/>
      <c r="R5" s="1219"/>
      <c r="S5" s="1219"/>
      <c r="T5" s="900"/>
      <c r="U5" s="256"/>
    </row>
    <row r="6" spans="1:21" ht="91.5" customHeight="1" x14ac:dyDescent="0.2">
      <c r="A6" s="181"/>
      <c r="B6" s="312"/>
      <c r="C6" s="1251" t="str">
        <f>IF(VLOOKUP(CONCATENATE(C3,"-0"),Languages!$A:$D,1,TRUE)=CONCATENATE(C3,"-0"),VLOOKUP(CONCATENATE(C3,"-0"),Languages!$A:$D,Summary!$C$7,TRUE),NA())</f>
        <v>Tilannekuvan osiossa arvioidaan organisaation kykyä määritellä ja ylläpitää organisaation kyberturvallisuuden tilannekuvaa. Organisaation tulee määritellä ja ylläpitää prosesseja ja teknisiä ratkaisuja operatiivisen ja kyberturvallisuustiedon keräämiseen, analysointiin, hälytysten nostamiseen, esittämiseen ja käyttämiseen, hyödyntäen muissa Kybermittarin osioissa mainittua informaatiota. Tilannekuva muodostetaan sekä organisaation toiminnan, että kyberturvallisuuden tasosta.</v>
      </c>
      <c r="D6" s="1251"/>
      <c r="E6" s="1251"/>
      <c r="F6" s="1251"/>
      <c r="G6" s="1251"/>
      <c r="H6" s="1251"/>
      <c r="I6" s="1251"/>
      <c r="J6" s="1251"/>
      <c r="K6" s="1251"/>
      <c r="L6" s="157"/>
      <c r="M6" s="256"/>
      <c r="N6" s="899"/>
      <c r="O6" s="1219"/>
      <c r="P6" s="1219"/>
      <c r="Q6" s="1219"/>
      <c r="R6" s="1219"/>
      <c r="S6" s="1219"/>
      <c r="T6" s="900"/>
      <c r="U6" s="256"/>
    </row>
    <row r="7" spans="1:21" ht="14.4" customHeight="1" x14ac:dyDescent="0.2">
      <c r="A7" s="181"/>
      <c r="B7" s="312"/>
      <c r="C7" s="268">
        <v>1</v>
      </c>
      <c r="D7" s="269" t="s">
        <v>1</v>
      </c>
      <c r="E7" s="270" t="str">
        <f>IF(VLOOKUP(CONCATENATE($C$3,"-",C7),Languages!$A:$D,1,TRUE)=CONCATENATE($C$3,"-",C7),VLOOKUP(CONCATENATE($C$3,"-",C7),Languages!$A:$D,Summary!$C$7,TRUE),NA())</f>
        <v>Lokienhallinta</v>
      </c>
      <c r="H7" s="271" t="str">
        <f ca="1">VLOOKUP(VLOOKUP(CONCATENATE($C$3,"-",$C7),Data!$K:$O,5,FALSE),Parameters!$C$7:$F$10,Summary!$C$7,FALSE)</f>
        <v>Kypsyystaso 0</v>
      </c>
      <c r="I7" s="505" t="str">
        <f>IF(VLOOKUP("KM110",Languages!$A:$D,1,TRUE)="KM110",VLOOKUP("KM110",Languages!$A:$D,Summary!$C$7,TRUE),NA())</f>
        <v>Päivämäärä</v>
      </c>
      <c r="J7" s="479"/>
      <c r="K7" s="261"/>
      <c r="L7" s="157"/>
      <c r="M7" s="256"/>
      <c r="N7" s="899"/>
      <c r="O7" s="1219"/>
      <c r="P7" s="1219"/>
      <c r="Q7" s="1219"/>
      <c r="R7" s="1219"/>
      <c r="S7" s="1219"/>
      <c r="T7" s="900"/>
      <c r="U7" s="256"/>
    </row>
    <row r="8" spans="1:21" ht="14.4" customHeight="1" x14ac:dyDescent="0.25">
      <c r="A8" s="181"/>
      <c r="B8" s="312"/>
      <c r="C8" s="268">
        <v>2</v>
      </c>
      <c r="D8" s="269" t="s">
        <v>1</v>
      </c>
      <c r="E8" s="270" t="str">
        <f>IF(VLOOKUP(CONCATENATE($C$3,"-",C8),Languages!$A:$D,1,TRUE)=CONCATENATE($C$3,"-",C8),VLOOKUP(CONCATENATE($C$3,"-",C8),Languages!$A:$D,Summary!$C$7,TRUE),NA())</f>
        <v>Ympäristöjen valvonta</v>
      </c>
      <c r="F8" s="328"/>
      <c r="H8" s="271" t="str">
        <f ca="1">VLOOKUP(VLOOKUP(CONCATENATE($C$3,"-",$C8),Data!$K:$O,5,FALSE),Parameters!$C$7:$F$10,Summary!$C$7,FALSE)</f>
        <v>Kypsyystaso 0</v>
      </c>
      <c r="I8" s="1217"/>
      <c r="J8" s="1218"/>
      <c r="K8" s="261"/>
      <c r="L8" s="157"/>
      <c r="M8" s="256"/>
      <c r="N8" s="899"/>
      <c r="O8" s="1219"/>
      <c r="P8" s="1219"/>
      <c r="Q8" s="1219"/>
      <c r="R8" s="1219"/>
      <c r="S8" s="1219"/>
      <c r="T8" s="900"/>
      <c r="U8" s="256"/>
    </row>
    <row r="9" spans="1:21" ht="14.4" customHeight="1" x14ac:dyDescent="0.2">
      <c r="A9" s="181"/>
      <c r="B9" s="312"/>
      <c r="C9" s="268">
        <v>3</v>
      </c>
      <c r="D9" s="269" t="s">
        <v>1</v>
      </c>
      <c r="E9" s="270" t="str">
        <f>IF(VLOOKUP(CONCATENATE($C$3,"-",C9),Languages!$A:$D,1,TRUE)=CONCATENATE($C$3,"-",C9),VLOOKUP(CONCATENATE($C$3,"-",C9),Languages!$A:$D,Summary!$C$7,TRUE),NA())</f>
        <v>Tilannekuvan ylläpito</v>
      </c>
      <c r="F9" s="329"/>
      <c r="H9" s="271" t="str">
        <f ca="1">VLOOKUP(VLOOKUP(CONCATENATE($C$3,"-",$C9),Data!$K:$O,5,FALSE),Parameters!$C$7:$F$10,Summary!$C$7,FALSE)</f>
        <v>Kypsyystaso 1</v>
      </c>
      <c r="I9" s="505" t="str">
        <f>IF(VLOOKUP("KM111",Languages!$A:$D,1,TRUE)="KM111",VLOOKUP("KM111",Languages!$A:$D,Summary!$C$7,TRUE),NA())</f>
        <v>Osallistujat</v>
      </c>
      <c r="J9" s="479"/>
      <c r="K9" s="261"/>
      <c r="L9" s="157"/>
      <c r="M9" s="256"/>
      <c r="N9" s="899"/>
      <c r="O9" s="1219"/>
      <c r="P9" s="1219"/>
      <c r="Q9" s="1219"/>
      <c r="R9" s="1219"/>
      <c r="S9" s="1219"/>
      <c r="T9" s="900"/>
      <c r="U9" s="256"/>
    </row>
    <row r="10" spans="1:21" ht="14.4" customHeight="1" x14ac:dyDescent="0.2">
      <c r="A10" s="181"/>
      <c r="B10" s="312"/>
      <c r="C10" s="268">
        <v>4</v>
      </c>
      <c r="D10" s="269" t="s">
        <v>1</v>
      </c>
      <c r="E10" s="270" t="str">
        <f>IF(VLOOKUP(CONCATENATE($C$3,"-",C10),Languages!$A:$D,1,TRUE)=CONCATENATE($C$3,"-",C10),VLOOKUP(CONCATENATE($C$3,"-",C10),Languages!$A:$D,Summary!$C$7,TRUE),NA())</f>
        <v>Yleisiä hallintatoimia</v>
      </c>
      <c r="F10" s="345"/>
      <c r="H10" s="271" t="str">
        <f ca="1">VLOOKUP(VLOOKUP(CONCATENATE($C$3,"-",$C10),Data!$K:$O,5,FALSE),Parameters!$C$7:$F$10,Summary!$C$7,FALSE)</f>
        <v>Kypsyystaso 1</v>
      </c>
      <c r="I10" s="1208"/>
      <c r="J10" s="1209"/>
      <c r="K10" s="261"/>
      <c r="L10" s="157"/>
      <c r="M10" s="256"/>
      <c r="N10" s="899"/>
      <c r="O10" s="1219"/>
      <c r="P10" s="1219"/>
      <c r="Q10" s="1219"/>
      <c r="R10" s="1219"/>
      <c r="S10" s="1219"/>
      <c r="T10" s="900"/>
      <c r="U10" s="256"/>
    </row>
    <row r="11" spans="1:21" ht="14.4" customHeight="1" x14ac:dyDescent="0.2">
      <c r="A11" s="181"/>
      <c r="B11" s="312"/>
      <c r="C11" s="268"/>
      <c r="D11" s="269"/>
      <c r="E11" s="270"/>
      <c r="F11" s="345"/>
      <c r="H11" s="271"/>
      <c r="I11" s="1210"/>
      <c r="J11" s="1211"/>
      <c r="K11" s="261"/>
      <c r="L11" s="157"/>
      <c r="M11" s="256"/>
      <c r="N11" s="899"/>
      <c r="O11" s="1219"/>
      <c r="P11" s="1219"/>
      <c r="Q11" s="1219"/>
      <c r="R11" s="1219"/>
      <c r="S11" s="1219"/>
      <c r="T11" s="900"/>
      <c r="U11" s="256"/>
    </row>
    <row r="12" spans="1:21" s="180" customFormat="1" ht="30" customHeight="1" x14ac:dyDescent="0.25">
      <c r="A12" s="169"/>
      <c r="B12" s="273"/>
      <c r="C12" s="173">
        <v>1</v>
      </c>
      <c r="D12" s="173" t="str">
        <f>IF(VLOOKUP(CONCATENATE($C$3,"-",C12),Languages!$A:$D,1,TRUE)=CONCATENATE($C$3,"-",C12),VLOOKUP(CONCATENATE($C$3,"-",C12),Languages!$A:$D,Summary!$C$7,TRUE),NA())</f>
        <v>Lokienhallinta</v>
      </c>
      <c r="E12" s="173"/>
      <c r="F12" s="275"/>
      <c r="G12" s="275"/>
      <c r="H12" s="276"/>
      <c r="I12" s="276"/>
      <c r="J12" s="276"/>
      <c r="K12" s="276"/>
      <c r="L12" s="157"/>
      <c r="M12" s="256"/>
      <c r="N12" s="899"/>
      <c r="O12" s="1219"/>
      <c r="P12" s="1219"/>
      <c r="Q12" s="1219"/>
      <c r="R12" s="1219"/>
      <c r="S12" s="1219"/>
      <c r="T12" s="900"/>
      <c r="U12" s="256"/>
    </row>
    <row r="13" spans="1:21" s="282" customFormat="1" ht="30" customHeight="1" x14ac:dyDescent="0.2">
      <c r="A13" s="279"/>
      <c r="B13" s="280"/>
      <c r="C13" s="1223" t="str">
        <f>IF(VLOOKUP(CONCATENATE($C$3,"-",$C12,"-0"),Languages!$A:$D,1,TRUE)=CONCATENATE($C$3,"-",$C12,"-0"),VLOOKUP(CONCATENATE($C$3,"-",$C12,"-0"),Languages!$A:$D,Summary!$C$7,TRUE),NA())</f>
        <v xml:space="preserve">Lokitus tulee ottaa käyttöön suojattavien kohteiden kriittisyyden perusteella. Esimerkiksi siten, että mitä suurempi potentiaalinen vaikutus vaarantuneella suojattavalla kohteella on, sitä enemmän tietoja organisaation tulisi kerätä tästä suojattavasta kohteesta. </v>
      </c>
      <c r="D13" s="1223"/>
      <c r="E13" s="1223"/>
      <c r="F13" s="1223"/>
      <c r="G13" s="1223"/>
      <c r="H13" s="1223"/>
      <c r="I13" s="1223"/>
      <c r="J13" s="1223"/>
      <c r="K13" s="1223"/>
      <c r="L13" s="157"/>
      <c r="M13" s="256"/>
      <c r="N13" s="899"/>
      <c r="O13" s="1219"/>
      <c r="P13" s="1219"/>
      <c r="Q13" s="1219"/>
      <c r="R13" s="1219"/>
      <c r="S13" s="1219"/>
      <c r="T13" s="900"/>
      <c r="U13" s="256"/>
    </row>
    <row r="14" spans="1:21" s="180" customFormat="1" ht="30" customHeight="1" x14ac:dyDescent="0.25">
      <c r="A14" s="169"/>
      <c r="B14" s="273"/>
      <c r="C14" s="173">
        <v>2</v>
      </c>
      <c r="D14" s="173" t="str">
        <f>IF(VLOOKUP(CONCATENATE($C$3,"-",C14),Languages!$A:$D,1,TRUE)=CONCATENATE($C$3,"-",C14),VLOOKUP(CONCATENATE($C$3,"-",C14),Languages!$A:$D,Summary!$C$7,TRUE),NA())</f>
        <v>Ympäristöjen valvonta</v>
      </c>
      <c r="E14" s="173"/>
      <c r="F14" s="296"/>
      <c r="G14" s="296" t="s">
        <v>16</v>
      </c>
      <c r="H14" s="297"/>
      <c r="I14" s="297"/>
      <c r="J14" s="297"/>
      <c r="K14" s="297"/>
      <c r="L14" s="157"/>
      <c r="M14" s="256"/>
      <c r="N14" s="899"/>
      <c r="O14" s="1219"/>
      <c r="P14" s="1219"/>
      <c r="Q14" s="1219"/>
      <c r="R14" s="1219"/>
      <c r="S14" s="1219"/>
      <c r="T14" s="900"/>
      <c r="U14" s="256"/>
    </row>
    <row r="15" spans="1:21" s="282" customFormat="1" ht="55.05" customHeight="1" x14ac:dyDescent="0.2">
      <c r="A15" s="279"/>
      <c r="B15" s="280"/>
      <c r="C15" s="1223" t="str">
        <f>IF(VLOOKUP(CONCATENATE($C$3,"-",$C14,"-0"),Languages!$A:$D,1,TRUE)=CONCATENATE($C$3,"-",$C14,"-0"),VLOOKUP(CONCATENATE($C$3,"-",$C14,"-0"),Languages!$A:$D,Summary!$C$7,TRUE),NA())</f>
        <v>Organisaation tulee käyttää lokien ja muiden lähteiden kautta kerättyä tietoa saadakseen selkeän yleiskuvan operatiivisen toiminnan ja kyberturvallisuuden tilasta.</v>
      </c>
      <c r="D15" s="1223"/>
      <c r="E15" s="1223"/>
      <c r="F15" s="1223"/>
      <c r="G15" s="1223"/>
      <c r="H15" s="1223"/>
      <c r="I15" s="1223"/>
      <c r="J15" s="1223"/>
      <c r="K15" s="1223"/>
      <c r="L15" s="157"/>
      <c r="M15" s="256"/>
      <c r="N15" s="899"/>
      <c r="O15" s="1219"/>
      <c r="P15" s="1219"/>
      <c r="Q15" s="1219"/>
      <c r="R15" s="1219"/>
      <c r="S15" s="1219"/>
      <c r="T15" s="900"/>
      <c r="U15" s="256"/>
    </row>
    <row r="16" spans="1:21" s="180" customFormat="1" ht="30" customHeight="1" x14ac:dyDescent="0.25">
      <c r="A16" s="169"/>
      <c r="B16" s="273"/>
      <c r="C16" s="173">
        <v>3</v>
      </c>
      <c r="D16" s="173" t="str">
        <f>IF(VLOOKUP(CONCATENATE($C$3,"-",C16),Languages!$A:$D,1,TRUE)=CONCATENATE($C$3,"-",C16),VLOOKUP(CONCATENATE($C$3,"-",C16),Languages!$A:$D,Summary!$C$7,TRUE),NA())</f>
        <v>Tilannekuvan ylläpito</v>
      </c>
      <c r="E16" s="173"/>
      <c r="F16" s="296"/>
      <c r="G16" s="296" t="s">
        <v>16</v>
      </c>
      <c r="H16" s="297"/>
      <c r="I16" s="297"/>
      <c r="J16" s="297"/>
      <c r="K16" s="297"/>
      <c r="L16" s="157"/>
      <c r="M16" s="256"/>
      <c r="N16" s="899"/>
      <c r="O16" s="1219"/>
      <c r="P16" s="1219"/>
      <c r="Q16" s="1219"/>
      <c r="R16" s="1219"/>
      <c r="S16" s="1219"/>
      <c r="T16" s="900"/>
      <c r="U16" s="256"/>
    </row>
    <row r="17" spans="1:21" s="300" customFormat="1" ht="48" customHeight="1" x14ac:dyDescent="0.2">
      <c r="A17" s="309"/>
      <c r="B17" s="713"/>
      <c r="C17" s="1223" t="str">
        <f>IF(VLOOKUP(CONCATENATE($C$3,"-",$C16,"-0"),Languages!$A:$D,1,TRUE)=CONCATENATE($C$3,"-",$C16,"-0"),VLOOKUP(CONCATENATE($C$3,"-",$C16,"-0"),Languages!$A:$D,Summary!$C$7,TRUE),NA())</f>
        <v>Yhteisen operatiivisen tilannekuvan ydin on tilanteen kommunikointi olennaisille päätöksentekijöille ymmärrettävästi. Vaikka useat yhteisen operatiivisen tilannekuvan toteutukset saattavat sisältää visuaalisia elementtejä (esim. hallintapaneelit, kartat tai muut graafiset käyttöliittymät), ne eivät ole pakollisia tavoitteiden saavuttamiseksi. Organisaatiot voivat myös käyttää muita tapoja tilannekuvan viestimiseen.</v>
      </c>
      <c r="D17" s="1223"/>
      <c r="E17" s="1223"/>
      <c r="F17" s="1223"/>
      <c r="G17" s="1223"/>
      <c r="H17" s="1223"/>
      <c r="I17" s="1223"/>
      <c r="J17" s="1223"/>
      <c r="K17" s="1223"/>
      <c r="L17" s="157"/>
      <c r="M17" s="256"/>
      <c r="N17" s="899"/>
      <c r="O17" s="1219"/>
      <c r="P17" s="1219"/>
      <c r="Q17" s="1219"/>
      <c r="R17" s="1219"/>
      <c r="S17" s="1219"/>
      <c r="T17" s="900"/>
      <c r="U17" s="256"/>
    </row>
    <row r="18" spans="1:21" s="180" customFormat="1" ht="30" customHeight="1" x14ac:dyDescent="0.25">
      <c r="A18" s="169"/>
      <c r="B18" s="273"/>
      <c r="C18" s="173">
        <v>4</v>
      </c>
      <c r="D18" s="173" t="str">
        <f>IF(VLOOKUP(CONCATENATE($C$3,"-",C18),Languages!$A:$D,1,TRUE)=CONCATENATE($C$3,"-",C18),VLOOKUP(CONCATENATE($C$3,"-",C18),Languages!$A:$D,Summary!$C$7,TRUE),NA())</f>
        <v>Yleisiä hallintatoimia</v>
      </c>
      <c r="E18" s="173"/>
      <c r="F18" s="296"/>
      <c r="G18" s="296" t="s">
        <v>16</v>
      </c>
      <c r="H18" s="297"/>
      <c r="I18" s="297"/>
      <c r="J18" s="297"/>
      <c r="K18" s="297"/>
      <c r="L18" s="157"/>
      <c r="M18" s="256"/>
      <c r="N18" s="899"/>
      <c r="O18" s="1219"/>
      <c r="P18" s="1219"/>
      <c r="Q18" s="1219"/>
      <c r="R18" s="1219"/>
      <c r="S18" s="1219"/>
      <c r="T18" s="900"/>
      <c r="U18" s="256"/>
    </row>
    <row r="19" spans="1:21" s="282" customFormat="1" ht="53.4" customHeight="1" x14ac:dyDescent="0.2">
      <c r="A19" s="309"/>
      <c r="B19" s="310"/>
      <c r="C19" s="1223" t="str">
        <f>IF(VLOOKUP(CONCATENATE($C$3,"-",$C18,"-0"),Languages!$A:$D,1,TRUE)=CONCATENATE($C$3,"-",$C18,"-0"),VLOOKUP(CONCATENATE($C$3,"-",$C18,"-0"),Languages!$A:$D,Summary!$C$7,TRUE),NA())</f>
        <v>Yleisillä hallintatoimilla arvioidaan sitä, kuinka syvällisesti osion kyberturvallisuuskäytännöt ovat juurtuneet osaksi organisaation toimintaa. Mitä syvemmin käytännöt ovat osa organisaation päivittäistä tekemistä sitä todennäköisempää on, että organisaatio noudattaa niitä myös kriisitilanteissa ja ajan kuluessa. Toisin sanoen, toiminta säilyy säännöllisenä, toistettavana ja korkealaatuisena.</v>
      </c>
      <c r="D19" s="1223"/>
      <c r="E19" s="1223"/>
      <c r="F19" s="1223"/>
      <c r="G19" s="1223"/>
      <c r="H19" s="1223"/>
      <c r="I19" s="1223"/>
      <c r="J19" s="1223"/>
      <c r="K19" s="1223"/>
      <c r="L19" s="157"/>
      <c r="M19" s="256"/>
      <c r="N19" s="901"/>
      <c r="O19" s="1220"/>
      <c r="P19" s="1220"/>
      <c r="Q19" s="1220"/>
      <c r="R19" s="1220"/>
      <c r="S19" s="1220"/>
      <c r="T19" s="902"/>
      <c r="U19" s="256"/>
    </row>
    <row r="20" spans="1:21" s="282" customFormat="1" ht="18" customHeight="1" x14ac:dyDescent="0.25">
      <c r="A20" s="309"/>
      <c r="B20" s="734"/>
      <c r="C20" s="734"/>
      <c r="D20" s="734"/>
      <c r="E20" s="734"/>
      <c r="F20" s="734"/>
      <c r="G20" s="734"/>
      <c r="H20" s="734"/>
      <c r="I20" s="734"/>
      <c r="J20" s="734"/>
      <c r="K20" s="734"/>
      <c r="L20" s="735"/>
      <c r="M20" s="138"/>
      <c r="N20" s="138"/>
      <c r="O20" s="255"/>
      <c r="P20" s="254"/>
      <c r="Q20" s="855"/>
      <c r="R20" s="254"/>
      <c r="S20" s="254"/>
      <c r="T20" s="138"/>
      <c r="U20" s="138"/>
    </row>
    <row r="21" spans="1:21" s="282" customFormat="1" ht="19.95" customHeight="1" x14ac:dyDescent="0.2">
      <c r="A21" s="309"/>
      <c r="B21" s="723"/>
      <c r="C21" s="721"/>
      <c r="D21" s="721"/>
      <c r="E21" s="721"/>
      <c r="F21" s="721"/>
      <c r="G21" s="721"/>
      <c r="H21" s="721"/>
      <c r="I21" s="721"/>
      <c r="J21" s="721"/>
      <c r="K21" s="721"/>
      <c r="L21" s="722"/>
      <c r="M21" s="256"/>
      <c r="N21" s="504" t="str">
        <f>IF(VLOOKUP("KM116",Languages!$A:$D,1,TRUE)="KM116",VLOOKUP("KM116",Languages!$A:$D,Summary!$C$7,TRUE),NA())</f>
        <v>EDELLINEN ARVIOINTI</v>
      </c>
      <c r="O21" s="442"/>
      <c r="P21" s="259"/>
      <c r="Q21" s="856" t="str">
        <f>IF(VLOOKUP("KM110",Languages!$A:$D,1,TRUE)="KM110",VLOOKUP("KM110",Languages!$A:$D,Summary!$C$7,TRUE),NA())</f>
        <v>Päivämäärä</v>
      </c>
      <c r="R21" s="259"/>
      <c r="S21" s="259"/>
      <c r="T21" s="150"/>
      <c r="U21" s="256"/>
    </row>
    <row r="22" spans="1:21" s="180" customFormat="1" ht="19.95" customHeight="1" x14ac:dyDescent="0.25">
      <c r="A22" s="169"/>
      <c r="B22" s="273"/>
      <c r="C22" s="173">
        <v>1</v>
      </c>
      <c r="D22" s="173" t="str">
        <f>IF(VLOOKUP(CONCATENATE($C$3,"-",C22),Languages!$A:$D,1,TRUE)=CONCATENATE($C$3,"-",C22),VLOOKUP(CONCATENATE($C$3,"-",C22),Languages!$A:$D,Summary!$C$7,TRUE),NA())</f>
        <v>Lokienhallinta</v>
      </c>
      <c r="E22" s="173"/>
      <c r="F22" s="275"/>
      <c r="G22" s="275"/>
      <c r="H22" s="276"/>
      <c r="I22" s="276"/>
      <c r="J22" s="276"/>
      <c r="K22" s="276"/>
      <c r="L22" s="157"/>
      <c r="M22" s="309"/>
      <c r="N22" s="310"/>
      <c r="O22" s="443"/>
      <c r="P22" s="438"/>
      <c r="Q22" s="781"/>
      <c r="R22" s="854"/>
      <c r="S22" s="854"/>
      <c r="T22" s="281"/>
      <c r="U22" s="309"/>
    </row>
    <row r="23" spans="1:21" s="289" customFormat="1" ht="19.95" customHeight="1" x14ac:dyDescent="0.2">
      <c r="A23" s="308"/>
      <c r="B23" s="283"/>
      <c r="C23" s="284" t="str">
        <f>IF(VLOOKUP("GEN-LEVEL",Languages!$A:$D,1,TRUE)="GEN-LEVEL",VLOOKUP("GEN-LEVEL",Languages!$A:$D,Summary!$C$7,TRUE),NA())</f>
        <v>Taso</v>
      </c>
      <c r="D23" s="284"/>
      <c r="E23" s="285" t="str">
        <f>IF(VLOOKUP("GEN-PRACTICE",Languages!$A:$D,1,TRUE)="GEN-PRACTICE",VLOOKUP("GEN-PRACTICE",Languages!$A:$D,Summary!$C$7,TRUE),NA())</f>
        <v>Käytäntö</v>
      </c>
      <c r="F23" s="286"/>
      <c r="G23" s="1003" t="str">
        <f>IF(VLOOKUP("GEN-ANSWER",Languages!$A:$D,1,TRUE)="GEN-ANSWER",VLOOKUP("GEN-ANSWER",Languages!$A:$D,Summary!$C$7,TRUE),NA())</f>
        <v>Vastaus</v>
      </c>
      <c r="H23" s="1004" t="str">
        <f>IF(VLOOKUP("KM112",Languages!$A:$D,1,TRUE)="KM112",VLOOKUP("KM112",Languages!$A:$D,Summary!$C$7,TRUE),NA())</f>
        <v>Kommentit</v>
      </c>
      <c r="I23" s="1004" t="str">
        <f>IF(VLOOKUP("KM113",Languages!$A:$D,1,TRUE)="KM113",VLOOKUP("KM113",Languages!$A:$D,Summary!$C$7,TRUE),NA())</f>
        <v>Sisäinen viittaus</v>
      </c>
      <c r="J23" s="1004" t="str">
        <f>IF(VLOOKUP("KM114",Languages!$A:$D,1,TRUE)="KM114",VLOOKUP("KM114",Languages!$A:$D,Summary!$C$7,TRUE),NA())</f>
        <v>Ulkoinen viittaus</v>
      </c>
      <c r="K23" s="1004" t="str">
        <f>IF(VLOOKUP("KM115",Languages!$A:$D,1,TRUE)="KM115",VLOOKUP("KM115",Languages!$A:$D,Summary!$C$7,TRUE),NA())</f>
        <v>Kehityskohde</v>
      </c>
      <c r="L23" s="287"/>
      <c r="M23" s="288"/>
      <c r="N23" s="283"/>
      <c r="O23" s="503" t="str">
        <f>IF(VLOOKUP("GEN-ANSWER",Languages!$A:$D,1,TRUE)="GEN-ANSWER",VLOOKUP("GEN-ANSWER",Languages!$A:$D,Summary!$C$7,TRUE),NA())</f>
        <v>Vastaus</v>
      </c>
      <c r="P23" s="503" t="str">
        <f>IF(VLOOKUP("KM112",Languages!$A:$D,1,TRUE)="KM112",VLOOKUP("KM112",Languages!$A:$D,Summary!$C$7,TRUE),NA())</f>
        <v>Kommentit</v>
      </c>
      <c r="Q23" s="503" t="str">
        <f>IF(VLOOKUP("KM113",Languages!$A:$D,1,TRUE)="KM113",VLOOKUP("KM113",Languages!$A:$D,Summary!$C$7,TRUE),NA())</f>
        <v>Sisäinen viittaus</v>
      </c>
      <c r="R23" s="503" t="str">
        <f>IF(VLOOKUP("KM114",Languages!$A:$D,1,TRUE)="KM114",VLOOKUP("KM114",Languages!$A:$D,Summary!$C$7,TRUE),NA())</f>
        <v>Ulkoinen viittaus</v>
      </c>
      <c r="S23" s="503" t="str">
        <f>IF(VLOOKUP("KM115",Languages!$A:$D,1,TRUE)="KM115",VLOOKUP("KM115",Languages!$A:$D,Summary!$C$7,TRUE),NA())</f>
        <v>Kehityskohde</v>
      </c>
      <c r="T23" s="287"/>
      <c r="U23" s="288"/>
    </row>
    <row r="24" spans="1:21" s="293" customFormat="1" ht="45" customHeight="1" x14ac:dyDescent="0.2">
      <c r="A24" s="279"/>
      <c r="B24" s="1204"/>
      <c r="C24" s="566">
        <v>1</v>
      </c>
      <c r="D24" s="400" t="s">
        <v>5</v>
      </c>
      <c r="E24" s="506" t="str">
        <f>IF(VLOOKUP(CONCATENATE($C$3,"-",$D24),Languages!$A:$D,1,TRUE)=CONCATENATE($C$3,"-",$D24),VLOOKUP(CONCATENATE($C$3,"-",$D24),Languages!$A:$D,Summary!$C$7,TRUE),NA())</f>
        <v>Lokitietoa kerätään toiminnon kannalta tärkeistä laitteista, ohjelmistoista ja tietovarannoista [kts. ASSET-1a, ASSET-2a]. Tasolla 1 tämän ei tarvitse olla systemaattista ja säännöllistä.</v>
      </c>
      <c r="F24" s="401">
        <f>IFERROR(INT(LEFT($G24,1)),0)</f>
        <v>0</v>
      </c>
      <c r="G24" s="496"/>
      <c r="H24" s="526"/>
      <c r="I24" s="526"/>
      <c r="J24" s="526"/>
      <c r="K24" s="527"/>
      <c r="L24" s="157"/>
      <c r="M24" s="256"/>
      <c r="N24" s="152"/>
      <c r="O24" s="985" t="str">
        <f>VLOOKUP(VLOOKUP($C$3&amp;"-"&amp;$D24,Import!$C:$D,2,FALSE),Parameters!$C$18:$F$22,Summary!$C$7,FALSE)</f>
        <v xml:space="preserve">0 - Vastaus puuttuu </v>
      </c>
      <c r="P24" s="1010" t="str">
        <f>IF(VLOOKUP($C$3&amp;"-"&amp;$D24,Import!$C:$H,3,FALSE)=0,"",VLOOKUP($C$3&amp;"-"&amp;$D24,Import!$C:$H,3,FALSE))</f>
        <v/>
      </c>
      <c r="Q24" s="1010" t="str">
        <f>IF(VLOOKUP($C$3&amp;"-"&amp;$D24,Import!$C:$H,4,FALSE)=0,"",VLOOKUP($C$3&amp;"-"&amp;$D24,Import!$C:$H,4,FALSE))</f>
        <v/>
      </c>
      <c r="R24" s="1010" t="str">
        <f>IF(VLOOKUP($C$3&amp;"-"&amp;$D24,Import!$C:$H,5,FALSE)=0,"",VLOOKUP($C$3&amp;"-"&amp;$D24,Import!$C:$H,5,FALSE))</f>
        <v/>
      </c>
      <c r="S24" s="1011" t="str">
        <f>IF(VLOOKUP($C$3&amp;"-"&amp;$D24,Import!$C:$H,6,FALSE)=0,"",VLOOKUP($C$3&amp;"-"&amp;$D24,Import!$C:$H,6,FALSE))</f>
        <v/>
      </c>
      <c r="T24" s="157"/>
      <c r="U24" s="256"/>
    </row>
    <row r="25" spans="1:21" s="293" customFormat="1" ht="45" customHeight="1" x14ac:dyDescent="0.2">
      <c r="A25" s="279"/>
      <c r="B25" s="1204"/>
      <c r="C25" s="1242">
        <v>2</v>
      </c>
      <c r="D25" s="397" t="s">
        <v>7</v>
      </c>
      <c r="E25" s="507" t="str">
        <f>IF(VLOOKUP(CONCATENATE($C$3,"-",$D25),Languages!$A:$D,1,TRUE)=CONCATENATE($C$3,"-",$D25),VLOOKUP(CONCATENATE($C$3,"-",$D25),Languages!$A:$D,Summary!$C$7,TRUE),NA())</f>
        <v>Lokitietoa kerätään sellaisista laitteista, ohjelmistoista ja tietovarannoista, joita voitaisiin käyttää hyökkääjän tavoitteen saavuttamiseen.</v>
      </c>
      <c r="F25" s="396">
        <f>IFERROR(INT(LEFT($G25,1)),0)</f>
        <v>0</v>
      </c>
      <c r="G25" s="485"/>
      <c r="H25" s="486"/>
      <c r="I25" s="486"/>
      <c r="J25" s="486"/>
      <c r="K25" s="487"/>
      <c r="L25" s="157"/>
      <c r="M25" s="256"/>
      <c r="N25" s="152"/>
      <c r="O25" s="988" t="str">
        <f>VLOOKUP(VLOOKUP($C$3&amp;"-"&amp;$D25,Import!$C:$D,2,FALSE),Parameters!$C$18:$F$22,Summary!$C$7,FALSE)</f>
        <v xml:space="preserve">0 - Vastaus puuttuu </v>
      </c>
      <c r="P25" s="1032" t="str">
        <f>IF(VLOOKUP($C$3&amp;"-"&amp;$D25,Import!$C:$H,3,FALSE)=0,"",VLOOKUP($C$3&amp;"-"&amp;$D25,Import!$C:$H,3,FALSE))</f>
        <v/>
      </c>
      <c r="Q25" s="1032" t="str">
        <f>IF(VLOOKUP($C$3&amp;"-"&amp;$D25,Import!$C:$H,4,FALSE)=0,"",VLOOKUP($C$3&amp;"-"&amp;$D25,Import!$C:$H,4,FALSE))</f>
        <v/>
      </c>
      <c r="R25" s="1032" t="str">
        <f>IF(VLOOKUP($C$3&amp;"-"&amp;$D25,Import!$C:$H,5,FALSE)=0,"",VLOOKUP($C$3&amp;"-"&amp;$D25,Import!$C:$H,5,FALSE))</f>
        <v/>
      </c>
      <c r="S25" s="1033" t="str">
        <f>IF(VLOOKUP($C$3&amp;"-"&amp;$D25,Import!$C:$H,6,FALSE)=0,"",VLOOKUP($C$3&amp;"-"&amp;$D25,Import!$C:$H,6,FALSE))</f>
        <v/>
      </c>
      <c r="T25" s="157"/>
      <c r="U25" s="256"/>
    </row>
    <row r="26" spans="1:21" s="293" customFormat="1" ht="45" customHeight="1" x14ac:dyDescent="0.2">
      <c r="A26" s="279"/>
      <c r="B26" s="1204"/>
      <c r="C26" s="1243"/>
      <c r="D26" s="290" t="s">
        <v>8</v>
      </c>
      <c r="E26" s="508" t="str">
        <f>IF(VLOOKUP(CONCATENATE($C$3,"-",$D26),Languages!$A:$D,1,TRUE)=CONCATENATE($C$3,"-",$D26),VLOOKUP(CONCATENATE($C$3,"-",$D26),Languages!$A:$D,Summary!$C$7,TRUE),NA())</f>
        <v>Lokitukselle on määritetty tarkempia vaatimuksia, joita kohdissa 1a ja 1b kuvattujen laitteiden, ohjelmistojen ja tietovarantojen tulee noudattaa.</v>
      </c>
      <c r="F26" s="291">
        <f>IFERROR(INT(LEFT($G26,1)),0)</f>
        <v>0</v>
      </c>
      <c r="G26" s="311"/>
      <c r="H26" s="480"/>
      <c r="I26" s="480"/>
      <c r="J26" s="480"/>
      <c r="K26" s="488"/>
      <c r="L26" s="157"/>
      <c r="M26" s="256"/>
      <c r="N26" s="152"/>
      <c r="O26" s="991" t="str">
        <f>VLOOKUP(VLOOKUP($C$3&amp;"-"&amp;$D26,Import!$C:$D,2,FALSE),Parameters!$C$18:$F$22,Summary!$C$7,FALSE)</f>
        <v xml:space="preserve">0 - Vastaus puuttuu </v>
      </c>
      <c r="P26" s="1015" t="str">
        <f>IF(VLOOKUP($C$3&amp;"-"&amp;$D26,Import!$C:$H,3,FALSE)=0,"",VLOOKUP($C$3&amp;"-"&amp;$D26,Import!$C:$H,3,FALSE))</f>
        <v/>
      </c>
      <c r="Q26" s="1015" t="str">
        <f>IF(VLOOKUP($C$3&amp;"-"&amp;$D26,Import!$C:$H,4,FALSE)=0,"",VLOOKUP($C$3&amp;"-"&amp;$D26,Import!$C:$H,4,FALSE))</f>
        <v/>
      </c>
      <c r="R26" s="1015" t="str">
        <f>IF(VLOOKUP($C$3&amp;"-"&amp;$D26,Import!$C:$H,5,FALSE)=0,"",VLOOKUP($C$3&amp;"-"&amp;$D26,Import!$C:$H,5,FALSE))</f>
        <v/>
      </c>
      <c r="S26" s="1016" t="str">
        <f>IF(VLOOKUP($C$3&amp;"-"&amp;$D26,Import!$C:$H,6,FALSE)=0,"",VLOOKUP($C$3&amp;"-"&amp;$D26,Import!$C:$H,6,FALSE))</f>
        <v/>
      </c>
      <c r="T26" s="157"/>
      <c r="U26" s="256"/>
    </row>
    <row r="27" spans="1:21" s="293" customFormat="1" ht="34.950000000000003" customHeight="1" x14ac:dyDescent="0.2">
      <c r="A27" s="279"/>
      <c r="B27" s="1204"/>
      <c r="C27" s="1244"/>
      <c r="D27" s="418" t="s">
        <v>9</v>
      </c>
      <c r="E27" s="512" t="str">
        <f>IF(VLOOKUP(CONCATENATE($C$3,"-",$D27),Languages!$A:$D,1,TRUE)=CONCATENATE($C$3,"-",$D27),VLOOKUP(CONCATENATE($C$3,"-",$D27),Languages!$A:$D,Summary!$C$7,TRUE),NA())</f>
        <v>Lokitieto koostetaan yhteen keskitetysti toiminnon sisällä.</v>
      </c>
      <c r="F27" s="403">
        <f>IFERROR(INT(LEFT($G27,1)),0)</f>
        <v>0</v>
      </c>
      <c r="G27" s="489"/>
      <c r="H27" s="481"/>
      <c r="I27" s="481"/>
      <c r="J27" s="481"/>
      <c r="K27" s="490"/>
      <c r="L27" s="157"/>
      <c r="M27" s="256"/>
      <c r="N27" s="152"/>
      <c r="O27" s="996" t="str">
        <f>VLOOKUP(VLOOKUP($C$3&amp;"-"&amp;$D27,Import!$C:$D,2,FALSE),Parameters!$C$18:$F$22,Summary!$C$7,FALSE)</f>
        <v xml:space="preserve">0 - Vastaus puuttuu </v>
      </c>
      <c r="P27" s="1034" t="str">
        <f>IF(VLOOKUP($C$3&amp;"-"&amp;$D27,Import!$C:$H,3,FALSE)=0,"",VLOOKUP($C$3&amp;"-"&amp;$D27,Import!$C:$H,3,FALSE))</f>
        <v/>
      </c>
      <c r="Q27" s="1034" t="str">
        <f>IF(VLOOKUP($C$3&amp;"-"&amp;$D27,Import!$C:$H,4,FALSE)=0,"",VLOOKUP($C$3&amp;"-"&amp;$D27,Import!$C:$H,4,FALSE))</f>
        <v/>
      </c>
      <c r="R27" s="1034" t="str">
        <f>IF(VLOOKUP($C$3&amp;"-"&amp;$D27,Import!$C:$H,5,FALSE)=0,"",VLOOKUP($C$3&amp;"-"&amp;$D27,Import!$C:$H,5,FALSE))</f>
        <v/>
      </c>
      <c r="S27" s="1035" t="str">
        <f>IF(VLOOKUP($C$3&amp;"-"&amp;$D27,Import!$C:$H,6,FALSE)=0,"",VLOOKUP($C$3&amp;"-"&amp;$D27,Import!$C:$H,6,FALSE))</f>
        <v/>
      </c>
      <c r="T27" s="157"/>
      <c r="U27" s="256"/>
    </row>
    <row r="28" spans="1:21" s="293" customFormat="1" ht="34.950000000000003" customHeight="1" x14ac:dyDescent="0.2">
      <c r="A28" s="279"/>
      <c r="B28" s="392"/>
      <c r="C28" s="572">
        <v>3</v>
      </c>
      <c r="D28" s="400" t="s">
        <v>10</v>
      </c>
      <c r="E28" s="538" t="str">
        <f>IF(VLOOKUP(CONCATENATE($C$3,"-",$D28),Languages!$A:$D,1,TRUE)=CONCATENATE($C$3,"-",$D28),VLOOKUP(CONCATENATE($C$3,"-",$D28),Languages!$A:$D,Summary!$C$7,TRUE),NA())</f>
        <v>Korkean prioriteetin laitteista, ohjelmistoista ja tietovarannoista [kts. ASSET-1d] kerätään perusteellisempaa lokitietoa.</v>
      </c>
      <c r="F28" s="401">
        <f>IFERROR(INT(LEFT($G28,1)),0)</f>
        <v>0</v>
      </c>
      <c r="G28" s="496"/>
      <c r="H28" s="526"/>
      <c r="I28" s="526"/>
      <c r="J28" s="526"/>
      <c r="K28" s="527"/>
      <c r="L28" s="157"/>
      <c r="M28" s="256"/>
      <c r="N28" s="152"/>
      <c r="O28" s="985" t="str">
        <f>VLOOKUP(VLOOKUP($C$3&amp;"-"&amp;$D28,Import!$C:$D,2,FALSE),Parameters!$C$18:$F$22,Summary!$C$7,FALSE)</f>
        <v xml:space="preserve">0 - Vastaus puuttuu </v>
      </c>
      <c r="P28" s="1010" t="str">
        <f>IF(VLOOKUP($C$3&amp;"-"&amp;$D28,Import!$C:$H,3,FALSE)=0,"",VLOOKUP($C$3&amp;"-"&amp;$D28,Import!$C:$H,3,FALSE))</f>
        <v/>
      </c>
      <c r="Q28" s="1010" t="str">
        <f>IF(VLOOKUP($C$3&amp;"-"&amp;$D28,Import!$C:$H,4,FALSE)=0,"",VLOOKUP($C$3&amp;"-"&amp;$D28,Import!$C:$H,4,FALSE))</f>
        <v/>
      </c>
      <c r="R28" s="1010" t="str">
        <f>IF(VLOOKUP($C$3&amp;"-"&amp;$D28,Import!$C:$H,5,FALSE)=0,"",VLOOKUP($C$3&amp;"-"&amp;$D28,Import!$C:$H,5,FALSE))</f>
        <v/>
      </c>
      <c r="S28" s="1011" t="str">
        <f>IF(VLOOKUP($C$3&amp;"-"&amp;$D28,Import!$C:$H,6,FALSE)=0,"",VLOOKUP($C$3&amp;"-"&amp;$D28,Import!$C:$H,6,FALSE))</f>
        <v/>
      </c>
      <c r="T28" s="157"/>
      <c r="U28" s="256"/>
    </row>
    <row r="29" spans="1:21" s="180" customFormat="1" ht="30" customHeight="1" x14ac:dyDescent="0.25">
      <c r="A29" s="169"/>
      <c r="B29" s="273"/>
      <c r="C29" s="173">
        <v>2</v>
      </c>
      <c r="D29" s="173" t="str">
        <f>IF(VLOOKUP(CONCATENATE($C$3,"-",C29),Languages!$A:$D,1,TRUE)=CONCATENATE($C$3,"-",C29),VLOOKUP(CONCATENATE($C$3,"-",C29),Languages!$A:$D,Summary!$C$7,TRUE),NA())</f>
        <v>Ympäristöjen valvonta</v>
      </c>
      <c r="E29" s="173"/>
      <c r="F29" s="296"/>
      <c r="G29" s="1006"/>
      <c r="H29" s="1030"/>
      <c r="I29" s="1030"/>
      <c r="J29" s="1030"/>
      <c r="K29" s="1030"/>
      <c r="L29" s="157"/>
      <c r="M29" s="256"/>
      <c r="N29" s="152"/>
      <c r="O29" s="296"/>
      <c r="P29" s="297"/>
      <c r="Q29" s="297"/>
      <c r="R29" s="297"/>
      <c r="S29" s="297"/>
      <c r="T29" s="157"/>
      <c r="U29" s="256"/>
    </row>
    <row r="30" spans="1:21" s="289" customFormat="1" ht="19.95" customHeight="1" x14ac:dyDescent="0.2">
      <c r="A30" s="308"/>
      <c r="B30" s="283"/>
      <c r="C30" s="284" t="str">
        <f>IF(VLOOKUP("GEN-LEVEL",Languages!$A:$D,1,TRUE)="GEN-LEVEL",VLOOKUP("GEN-LEVEL",Languages!$A:$D,Summary!$C$7,TRUE),NA())</f>
        <v>Taso</v>
      </c>
      <c r="D30" s="284"/>
      <c r="E30" s="285" t="str">
        <f>IF(VLOOKUP("GEN-PRACTICE",Languages!$A:$D,1,TRUE)="GEN-PRACTICE",VLOOKUP("GEN-PRACTICE",Languages!$A:$D,Summary!$C$7,TRUE),NA())</f>
        <v>Käytäntö</v>
      </c>
      <c r="F30" s="286"/>
      <c r="G30" s="1003" t="str">
        <f>IF(VLOOKUP("GEN-ANSWER",Languages!$A:$D,1,TRUE)="GEN-ANSWER",VLOOKUP("GEN-ANSWER",Languages!$A:$D,Summary!$C$7,TRUE),NA())</f>
        <v>Vastaus</v>
      </c>
      <c r="H30" s="1004" t="str">
        <f>IF(VLOOKUP("KM112",Languages!$A:$D,1,TRUE)="KM112",VLOOKUP("KM112",Languages!$A:$D,Summary!$C$7,TRUE),NA())</f>
        <v>Kommentit</v>
      </c>
      <c r="I30" s="1004" t="str">
        <f>IF(VLOOKUP("KM113",Languages!$A:$D,1,TRUE)="KM113",VLOOKUP("KM113",Languages!$A:$D,Summary!$C$7,TRUE),NA())</f>
        <v>Sisäinen viittaus</v>
      </c>
      <c r="J30" s="1004" t="str">
        <f>IF(VLOOKUP("KM114",Languages!$A:$D,1,TRUE)="KM114",VLOOKUP("KM114",Languages!$A:$D,Summary!$C$7,TRUE),NA())</f>
        <v>Ulkoinen viittaus</v>
      </c>
      <c r="K30" s="1004" t="str">
        <f>IF(VLOOKUP("KM115",Languages!$A:$D,1,TRUE)="KM115",VLOOKUP("KM115",Languages!$A:$D,Summary!$C$7,TRUE),NA())</f>
        <v>Kehityskohde</v>
      </c>
      <c r="L30" s="287"/>
      <c r="M30" s="288"/>
      <c r="N30" s="283"/>
      <c r="O30" s="503" t="str">
        <f>IF(VLOOKUP("GEN-ANSWER",Languages!$A:$D,1,TRUE)="GEN-ANSWER",VLOOKUP("GEN-ANSWER",Languages!$A:$D,Summary!$C$7,TRUE),NA())</f>
        <v>Vastaus</v>
      </c>
      <c r="P30" s="503" t="str">
        <f>IF(VLOOKUP("KM112",Languages!$A:$D,1,TRUE)="KM112",VLOOKUP("KM112",Languages!$A:$D,Summary!$C$7,TRUE),NA())</f>
        <v>Kommentit</v>
      </c>
      <c r="Q30" s="503" t="str">
        <f>IF(VLOOKUP("KM113",Languages!$A:$D,1,TRUE)="KM113",VLOOKUP("KM113",Languages!$A:$D,Summary!$C$7,TRUE),NA())</f>
        <v>Sisäinen viittaus</v>
      </c>
      <c r="R30" s="503" t="str">
        <f>IF(VLOOKUP("KM114",Languages!$A:$D,1,TRUE)="KM114",VLOOKUP("KM114",Languages!$A:$D,Summary!$C$7,TRUE),NA())</f>
        <v>Ulkoinen viittaus</v>
      </c>
      <c r="S30" s="503" t="str">
        <f>IF(VLOOKUP("KM115",Languages!$A:$D,1,TRUE)="KM115",VLOOKUP("KM115",Languages!$A:$D,Summary!$C$7,TRUE),NA())</f>
        <v>Kehityskohde</v>
      </c>
      <c r="T30" s="287"/>
      <c r="U30" s="288"/>
    </row>
    <row r="31" spans="1:21" s="300" customFormat="1" ht="45" customHeight="1" x14ac:dyDescent="0.2">
      <c r="A31" s="309"/>
      <c r="B31" s="1213"/>
      <c r="C31" s="1229">
        <v>1</v>
      </c>
      <c r="D31" s="406" t="s">
        <v>17</v>
      </c>
      <c r="E31" s="507" t="str">
        <f>IF(VLOOKUP(CONCATENATE($C$3,"-",$D31),Languages!$A:$D,1,TRUE)=CONCATENATE($C$3,"-",$D31),VLOOKUP(CONCATENATE($C$3,"-",$D31),Languages!$A:$D,Summary!$C$7,TRUE),NA())</f>
        <v>Lokitietojen tarkastelua ja muuta kyberturvallisuusvalvontaa tehdään. Tasolla 1 tämän ei tarvitse olla systemaattista ja säännöllistä.</v>
      </c>
      <c r="F31" s="396">
        <f t="shared" ref="F31:F40" si="0">IFERROR(INT(LEFT($G31,1)),0)</f>
        <v>0</v>
      </c>
      <c r="G31" s="485"/>
      <c r="H31" s="486"/>
      <c r="I31" s="486"/>
      <c r="J31" s="486"/>
      <c r="K31" s="487"/>
      <c r="L31" s="157"/>
      <c r="M31" s="256"/>
      <c r="N31" s="152"/>
      <c r="O31" s="988" t="str">
        <f>VLOOKUP(VLOOKUP($C$3&amp;"-"&amp;$D31,Import!$C:$D,2,FALSE),Parameters!$C$18:$F$22,Summary!$C$7,FALSE)</f>
        <v xml:space="preserve">0 - Vastaus puuttuu </v>
      </c>
      <c r="P31" s="1032" t="str">
        <f>IF(VLOOKUP($C$3&amp;"-"&amp;$D31,Import!$C:$H,3,FALSE)=0,"",VLOOKUP($C$3&amp;"-"&amp;$D31,Import!$C:$H,3,FALSE))</f>
        <v/>
      </c>
      <c r="Q31" s="1032" t="str">
        <f>IF(VLOOKUP($C$3&amp;"-"&amp;$D31,Import!$C:$H,4,FALSE)=0,"",VLOOKUP($C$3&amp;"-"&amp;$D31,Import!$C:$H,4,FALSE))</f>
        <v/>
      </c>
      <c r="R31" s="1032" t="str">
        <f>IF(VLOOKUP($C$3&amp;"-"&amp;$D31,Import!$C:$H,5,FALSE)=0,"",VLOOKUP($C$3&amp;"-"&amp;$D31,Import!$C:$H,5,FALSE))</f>
        <v/>
      </c>
      <c r="S31" s="1033" t="str">
        <f>IF(VLOOKUP($C$3&amp;"-"&amp;$D31,Import!$C:$H,6,FALSE)=0,"",VLOOKUP($C$3&amp;"-"&amp;$D31,Import!$C:$H,6,FALSE))</f>
        <v/>
      </c>
      <c r="T31" s="157"/>
      <c r="U31" s="256"/>
    </row>
    <row r="32" spans="1:21" s="300" customFormat="1" ht="45" customHeight="1" x14ac:dyDescent="0.2">
      <c r="A32" s="309"/>
      <c r="B32" s="1213"/>
      <c r="C32" s="1230"/>
      <c r="D32" s="407" t="s">
        <v>18</v>
      </c>
      <c r="E32" s="514" t="str">
        <f>IF(VLOOKUP(CONCATENATE($C$3,"-",$D32),Languages!$A:$D,1,TRUE)=CONCATENATE($C$3,"-",$D32),VLOOKUP(CONCATENATE($C$3,"-",$D32),Languages!$A:$D,Summary!$C$7,TRUE),NA())</f>
        <v>IT-ympäristöjä (ja mahdollisia OT-ympäristöjä) valvotaan poikkeavan toiminnan ja mahdollisten kybertapahtumien varalta. Tasolla 1 tämän ei tarvitse olla systemaattista ja säännöllistä.</v>
      </c>
      <c r="F32" s="403">
        <f t="shared" si="0"/>
        <v>0</v>
      </c>
      <c r="G32" s="489"/>
      <c r="H32" s="484"/>
      <c r="I32" s="484"/>
      <c r="J32" s="484"/>
      <c r="K32" s="493"/>
      <c r="L32" s="157"/>
      <c r="M32" s="256"/>
      <c r="N32" s="152"/>
      <c r="O32" s="996" t="str">
        <f>VLOOKUP(VLOOKUP($C$3&amp;"-"&amp;$D32,Import!$C:$D,2,FALSE),Parameters!$C$18:$F$22,Summary!$C$7,FALSE)</f>
        <v xml:space="preserve">0 - Vastaus puuttuu </v>
      </c>
      <c r="P32" s="1024" t="str">
        <f>IF(VLOOKUP($C$3&amp;"-"&amp;$D32,Import!$C:$H,3,FALSE)=0,"",VLOOKUP($C$3&amp;"-"&amp;$D32,Import!$C:$H,3,FALSE))</f>
        <v/>
      </c>
      <c r="Q32" s="1024" t="str">
        <f>IF(VLOOKUP($C$3&amp;"-"&amp;$D32,Import!$C:$H,4,FALSE)=0,"",VLOOKUP($C$3&amp;"-"&amp;$D32,Import!$C:$H,4,FALSE))</f>
        <v/>
      </c>
      <c r="R32" s="1024" t="str">
        <f>IF(VLOOKUP($C$3&amp;"-"&amp;$D32,Import!$C:$H,5,FALSE)=0,"",VLOOKUP($C$3&amp;"-"&amp;$D32,Import!$C:$H,5,FALSE))</f>
        <v/>
      </c>
      <c r="S32" s="1025" t="str">
        <f>IF(VLOOKUP($C$3&amp;"-"&amp;$D32,Import!$C:$H,6,FALSE)=0,"",VLOOKUP($C$3&amp;"-"&amp;$D32,Import!$C:$H,6,FALSE))</f>
        <v/>
      </c>
      <c r="T32" s="157"/>
      <c r="U32" s="256"/>
    </row>
    <row r="33" spans="1:21" s="300" customFormat="1" ht="45" customHeight="1" x14ac:dyDescent="0.2">
      <c r="A33" s="309"/>
      <c r="B33" s="1213"/>
      <c r="C33" s="1224">
        <v>2</v>
      </c>
      <c r="D33" s="406" t="s">
        <v>19</v>
      </c>
      <c r="E33" s="507" t="str">
        <f>IF(VLOOKUP(CONCATENATE($C$3,"-",$D33),Languages!$A:$D,1,TRUE)=CONCATENATE($C$3,"-",$D33),VLOOKUP(CONCATENATE($C$3,"-",$D33),Languages!$A:$D,Summary!$C$7,TRUE),NA())</f>
        <v>Valvonnalle ja havaintojen analysoinnille on määritetty tarkempia vaatimuksia, joita päivitetään säännöllisesti ja jotka kattavat tapahtumatietojen oikea-aikaisen tarkastelun.</v>
      </c>
      <c r="F33" s="396">
        <f t="shared" si="0"/>
        <v>0</v>
      </c>
      <c r="G33" s="485"/>
      <c r="H33" s="482"/>
      <c r="I33" s="482"/>
      <c r="J33" s="482"/>
      <c r="K33" s="491"/>
      <c r="L33" s="157"/>
      <c r="M33" s="256"/>
      <c r="N33" s="152"/>
      <c r="O33" s="988" t="str">
        <f>VLOOKUP(VLOOKUP($C$3&amp;"-"&amp;$D33,Import!$C:$D,2,FALSE),Parameters!$C$18:$F$22,Summary!$C$7,FALSE)</f>
        <v xml:space="preserve">0 - Vastaus puuttuu </v>
      </c>
      <c r="P33" s="1022" t="str">
        <f>IF(VLOOKUP($C$3&amp;"-"&amp;$D33,Import!$C:$H,3,FALSE)=0,"",VLOOKUP($C$3&amp;"-"&amp;$D33,Import!$C:$H,3,FALSE))</f>
        <v/>
      </c>
      <c r="Q33" s="1022" t="str">
        <f>IF(VLOOKUP($C$3&amp;"-"&amp;$D33,Import!$C:$H,4,FALSE)=0,"",VLOOKUP($C$3&amp;"-"&amp;$D33,Import!$C:$H,4,FALSE))</f>
        <v/>
      </c>
      <c r="R33" s="1022" t="str">
        <f>IF(VLOOKUP($C$3&amp;"-"&amp;$D33,Import!$C:$H,5,FALSE)=0,"",VLOOKUP($C$3&amp;"-"&amp;$D33,Import!$C:$H,5,FALSE))</f>
        <v/>
      </c>
      <c r="S33" s="1023" t="str">
        <f>IF(VLOOKUP($C$3&amp;"-"&amp;$D33,Import!$C:$H,6,FALSE)=0,"",VLOOKUP($C$3&amp;"-"&amp;$D33,Import!$C:$H,6,FALSE))</f>
        <v/>
      </c>
      <c r="T33" s="157"/>
      <c r="U33" s="256"/>
    </row>
    <row r="34" spans="1:21" s="300" customFormat="1" ht="75" customHeight="1" x14ac:dyDescent="0.2">
      <c r="A34" s="309"/>
      <c r="B34" s="1213"/>
      <c r="C34" s="1237"/>
      <c r="D34" s="298" t="s">
        <v>20</v>
      </c>
      <c r="E34" s="508" t="str">
        <f>IF(VLOOKUP(CONCATENATE($C$3,"-",$D34),Languages!$A:$D,1,TRUE)=CONCATENATE($C$3,"-",$D34),VLOOKUP(CONCATENATE($C$3,"-",$D34),Languages!$A:$D,Summary!$C$7,TRUE),NA())</f>
        <v>Poikkeavan toiminnan havaitsemiseksi on määritetty indikaattoreita, jotka pohjautuvat järjestelmälokeihin, tietovuoanalyysiin, verkkojen peruskonfiguraatioihin, kybertapahtumiin ja -arkkitehtuuriin. IT-ympäristöjä (ja mahdollisia OT-ympäristöjä) valvotaan näiden indikaattoreiden avulla.</v>
      </c>
      <c r="F34" s="291">
        <f t="shared" si="0"/>
        <v>0</v>
      </c>
      <c r="G34" s="311"/>
      <c r="H34" s="483"/>
      <c r="I34" s="483"/>
      <c r="J34" s="483"/>
      <c r="K34" s="492"/>
      <c r="L34" s="157"/>
      <c r="M34" s="256"/>
      <c r="N34" s="152"/>
      <c r="O34" s="991" t="str">
        <f>VLOOKUP(VLOOKUP($C$3&amp;"-"&amp;$D34,Import!$C:$D,2,FALSE),Parameters!$C$18:$F$22,Summary!$C$7,FALSE)</f>
        <v xml:space="preserve">0 - Vastaus puuttuu </v>
      </c>
      <c r="P34" s="1017" t="str">
        <f>IF(VLOOKUP($C$3&amp;"-"&amp;$D34,Import!$C:$H,3,FALSE)=0,"",VLOOKUP($C$3&amp;"-"&amp;$D34,Import!$C:$H,3,FALSE))</f>
        <v/>
      </c>
      <c r="Q34" s="1017" t="str">
        <f>IF(VLOOKUP($C$3&amp;"-"&amp;$D34,Import!$C:$H,4,FALSE)=0,"",VLOOKUP($C$3&amp;"-"&amp;$D34,Import!$C:$H,4,FALSE))</f>
        <v/>
      </c>
      <c r="R34" s="1017" t="str">
        <f>IF(VLOOKUP($C$3&amp;"-"&amp;$D34,Import!$C:$H,5,FALSE)=0,"",VLOOKUP($C$3&amp;"-"&amp;$D34,Import!$C:$H,5,FALSE))</f>
        <v/>
      </c>
      <c r="S34" s="1018" t="str">
        <f>IF(VLOOKUP($C$3&amp;"-"&amp;$D34,Import!$C:$H,6,FALSE)=0,"",VLOOKUP($C$3&amp;"-"&amp;$D34,Import!$C:$H,6,FALSE))</f>
        <v/>
      </c>
      <c r="T34" s="157"/>
      <c r="U34" s="256"/>
    </row>
    <row r="35" spans="1:21" s="300" customFormat="1" ht="34.950000000000003" customHeight="1" x14ac:dyDescent="0.2">
      <c r="A35" s="309"/>
      <c r="B35" s="1213"/>
      <c r="C35" s="1237"/>
      <c r="D35" s="298" t="s">
        <v>21</v>
      </c>
      <c r="E35" s="508" t="str">
        <f>IF(VLOOKUP(CONCATENATE($C$3,"-",$D35),Languages!$A:$D,1,TRUE)=CONCATENATE($C$3,"-",$D35),VLOOKUP(CONCATENATE($C$3,"-",$D35),Languages!$A:$D,Summary!$C$7,TRUE),NA())</f>
        <v>Kybertapahtumien tunnistamista varten on määritetty erilaisia hälytyksiä ja ilmoituksia, joita päivitetään säännöllisesti.</v>
      </c>
      <c r="F35" s="291">
        <f t="shared" si="0"/>
        <v>0</v>
      </c>
      <c r="G35" s="311"/>
      <c r="H35" s="483"/>
      <c r="I35" s="483"/>
      <c r="J35" s="483"/>
      <c r="K35" s="492"/>
      <c r="L35" s="157"/>
      <c r="M35" s="256"/>
      <c r="N35" s="152"/>
      <c r="O35" s="991" t="str">
        <f>VLOOKUP(VLOOKUP($C$3&amp;"-"&amp;$D35,Import!$C:$D,2,FALSE),Parameters!$C$18:$F$22,Summary!$C$7,FALSE)</f>
        <v xml:space="preserve">0 - Vastaus puuttuu </v>
      </c>
      <c r="P35" s="1017" t="str">
        <f>IF(VLOOKUP($C$3&amp;"-"&amp;$D35,Import!$C:$H,3,FALSE)=0,"",VLOOKUP($C$3&amp;"-"&amp;$D35,Import!$C:$H,3,FALSE))</f>
        <v/>
      </c>
      <c r="Q35" s="1017" t="str">
        <f>IF(VLOOKUP($C$3&amp;"-"&amp;$D35,Import!$C:$H,4,FALSE)=0,"",VLOOKUP($C$3&amp;"-"&amp;$D35,Import!$C:$H,4,FALSE))</f>
        <v/>
      </c>
      <c r="R35" s="1017" t="str">
        <f>IF(VLOOKUP($C$3&amp;"-"&amp;$D35,Import!$C:$H,5,FALSE)=0,"",VLOOKUP($C$3&amp;"-"&amp;$D35,Import!$C:$H,5,FALSE))</f>
        <v/>
      </c>
      <c r="S35" s="1018" t="str">
        <f>IF(VLOOKUP($C$3&amp;"-"&amp;$D35,Import!$C:$H,6,FALSE)=0,"",VLOOKUP($C$3&amp;"-"&amp;$D35,Import!$C:$H,6,FALSE))</f>
        <v/>
      </c>
      <c r="T35" s="157"/>
      <c r="U35" s="256"/>
    </row>
    <row r="36" spans="1:21" s="300" customFormat="1" ht="34.950000000000003" customHeight="1" x14ac:dyDescent="0.2">
      <c r="A36" s="309"/>
      <c r="B36" s="1213"/>
      <c r="C36" s="1225"/>
      <c r="D36" s="407" t="s">
        <v>109</v>
      </c>
      <c r="E36" s="514" t="str">
        <f>IF(VLOOKUP(CONCATENATE($C$3,"-",$D36),Languages!$A:$D,1,TRUE)=CONCATENATE($C$3,"-",$D36),VLOOKUP(CONCATENATE($C$3,"-",$D36),Languages!$A:$D,Summary!$C$7,TRUE),NA())</f>
        <v>Valvontatoimenpiteet ovat linjassa toiminnon uhkaprofiilin kanssa [kts. THREAT-2d].</v>
      </c>
      <c r="F36" s="403">
        <f t="shared" si="0"/>
        <v>0</v>
      </c>
      <c r="G36" s="489"/>
      <c r="H36" s="484"/>
      <c r="I36" s="484"/>
      <c r="J36" s="484"/>
      <c r="K36" s="493"/>
      <c r="L36" s="157"/>
      <c r="M36" s="256"/>
      <c r="N36" s="152"/>
      <c r="O36" s="996" t="str">
        <f>VLOOKUP(VLOOKUP($C$3&amp;"-"&amp;$D36,Import!$C:$D,2,FALSE),Parameters!$C$18:$F$22,Summary!$C$7,FALSE)</f>
        <v xml:space="preserve">0 - Vastaus puuttuu </v>
      </c>
      <c r="P36" s="1024" t="str">
        <f>IF(VLOOKUP($C$3&amp;"-"&amp;$D36,Import!$C:$H,3,FALSE)=0,"",VLOOKUP($C$3&amp;"-"&amp;$D36,Import!$C:$H,3,FALSE))</f>
        <v/>
      </c>
      <c r="Q36" s="1024" t="str">
        <f>IF(VLOOKUP($C$3&amp;"-"&amp;$D36,Import!$C:$H,4,FALSE)=0,"",VLOOKUP($C$3&amp;"-"&amp;$D36,Import!$C:$H,4,FALSE))</f>
        <v/>
      </c>
      <c r="R36" s="1024" t="str">
        <f>IF(VLOOKUP($C$3&amp;"-"&amp;$D36,Import!$C:$H,5,FALSE)=0,"",VLOOKUP($C$3&amp;"-"&amp;$D36,Import!$C:$H,5,FALSE))</f>
        <v/>
      </c>
      <c r="S36" s="1025" t="str">
        <f>IF(VLOOKUP($C$3&amp;"-"&amp;$D36,Import!$C:$H,6,FALSE)=0,"",VLOOKUP($C$3&amp;"-"&amp;$D36,Import!$C:$H,6,FALSE))</f>
        <v/>
      </c>
      <c r="T36" s="157"/>
      <c r="U36" s="256"/>
    </row>
    <row r="37" spans="1:21" s="300" customFormat="1" ht="34.950000000000003" customHeight="1" x14ac:dyDescent="0.2">
      <c r="A37" s="309"/>
      <c r="B37" s="1213"/>
      <c r="C37" s="1226">
        <v>3</v>
      </c>
      <c r="D37" s="406" t="s">
        <v>173</v>
      </c>
      <c r="E37" s="507" t="str">
        <f>IF(VLOOKUP(CONCATENATE($C$3,"-",$D37),Languages!$A:$D,1,TRUE)=CONCATENATE($C$3,"-",$D37),VLOOKUP(CONCATENATE($C$3,"-",$D37),Languages!$A:$D,Summary!$C$7,TRUE),NA())</f>
        <v>Tarkempaa valvontaa suoritetaan korkean prioriteetin laitteille, ohjelmistoille ja tietovarannoille [kts. ASSET-1d].</v>
      </c>
      <c r="F37" s="396">
        <f t="shared" si="0"/>
        <v>0</v>
      </c>
      <c r="G37" s="485"/>
      <c r="H37" s="482"/>
      <c r="I37" s="482"/>
      <c r="J37" s="482"/>
      <c r="K37" s="491"/>
      <c r="L37" s="157"/>
      <c r="M37" s="256"/>
      <c r="N37" s="152"/>
      <c r="O37" s="988" t="str">
        <f>VLOOKUP(VLOOKUP($C$3&amp;"-"&amp;$D37,Import!$C:$D,2,FALSE),Parameters!$C$18:$F$22,Summary!$C$7,FALSE)</f>
        <v xml:space="preserve">0 - Vastaus puuttuu </v>
      </c>
      <c r="P37" s="1022" t="str">
        <f>IF(VLOOKUP($C$3&amp;"-"&amp;$D37,Import!$C:$H,3,FALSE)=0,"",VLOOKUP($C$3&amp;"-"&amp;$D37,Import!$C:$H,3,FALSE))</f>
        <v/>
      </c>
      <c r="Q37" s="1022" t="str">
        <f>IF(VLOOKUP($C$3&amp;"-"&amp;$D37,Import!$C:$H,4,FALSE)=0,"",VLOOKUP($C$3&amp;"-"&amp;$D37,Import!$C:$H,4,FALSE))</f>
        <v/>
      </c>
      <c r="R37" s="1022" t="str">
        <f>IF(VLOOKUP($C$3&amp;"-"&amp;$D37,Import!$C:$H,5,FALSE)=0,"",VLOOKUP($C$3&amp;"-"&amp;$D37,Import!$C:$H,5,FALSE))</f>
        <v/>
      </c>
      <c r="S37" s="1023" t="str">
        <f>IF(VLOOKUP($C$3&amp;"-"&amp;$D37,Import!$C:$H,6,FALSE)=0,"",VLOOKUP($C$3&amp;"-"&amp;$D37,Import!$C:$H,6,FALSE))</f>
        <v/>
      </c>
      <c r="T37" s="157"/>
      <c r="U37" s="256"/>
    </row>
    <row r="38" spans="1:21" s="300" customFormat="1" ht="34.950000000000003" customHeight="1" x14ac:dyDescent="0.2">
      <c r="A38" s="309"/>
      <c r="B38" s="1213"/>
      <c r="C38" s="1228"/>
      <c r="D38" s="298" t="s">
        <v>175</v>
      </c>
      <c r="E38" s="508" t="str">
        <f>IF(VLOOKUP(CONCATENATE($C$3,"-",$D38),Languages!$A:$D,1,TRUE)=CONCATENATE($C$3,"-",$D38),VLOOKUP(CONCATENATE($C$3,"-",$D38),Languages!$A:$D,Summary!$C$7,TRUE),NA())</f>
        <v>IT-ympäristöissä (ja mahdollisissa OT-ympäristöissä) suoritetaan jatkuvaa valvontaa poikkeavan toiminnan havaitsemiseksi.</v>
      </c>
      <c r="F38" s="291">
        <f t="shared" si="0"/>
        <v>0</v>
      </c>
      <c r="G38" s="311"/>
      <c r="H38" s="483"/>
      <c r="I38" s="483"/>
      <c r="J38" s="483"/>
      <c r="K38" s="492"/>
      <c r="L38" s="157"/>
      <c r="M38" s="256"/>
      <c r="N38" s="152"/>
      <c r="O38" s="991" t="str">
        <f>VLOOKUP(VLOOKUP($C$3&amp;"-"&amp;$D38,Import!$C:$D,2,FALSE),Parameters!$C$18:$F$22,Summary!$C$7,FALSE)</f>
        <v xml:space="preserve">0 - Vastaus puuttuu </v>
      </c>
      <c r="P38" s="1017" t="str">
        <f>IF(VLOOKUP($C$3&amp;"-"&amp;$D38,Import!$C:$H,3,FALSE)=0,"",VLOOKUP($C$3&amp;"-"&amp;$D38,Import!$C:$H,3,FALSE))</f>
        <v/>
      </c>
      <c r="Q38" s="1017" t="str">
        <f>IF(VLOOKUP($C$3&amp;"-"&amp;$D38,Import!$C:$H,4,FALSE)=0,"",VLOOKUP($C$3&amp;"-"&amp;$D38,Import!$C:$H,4,FALSE))</f>
        <v/>
      </c>
      <c r="R38" s="1017" t="str">
        <f>IF(VLOOKUP($C$3&amp;"-"&amp;$D38,Import!$C:$H,5,FALSE)=0,"",VLOOKUP($C$3&amp;"-"&amp;$D38,Import!$C:$H,5,FALSE))</f>
        <v/>
      </c>
      <c r="S38" s="1018" t="str">
        <f>IF(VLOOKUP($C$3&amp;"-"&amp;$D38,Import!$C:$H,6,FALSE)=0,"",VLOOKUP($C$3&amp;"-"&amp;$D38,Import!$C:$H,6,FALSE))</f>
        <v/>
      </c>
      <c r="T38" s="157"/>
      <c r="U38" s="256"/>
    </row>
    <row r="39" spans="1:21" s="300" customFormat="1" ht="34.950000000000003" customHeight="1" x14ac:dyDescent="0.2">
      <c r="A39" s="309"/>
      <c r="B39" s="1213"/>
      <c r="C39" s="1228"/>
      <c r="D39" s="298" t="s">
        <v>206</v>
      </c>
      <c r="E39" s="508" t="str">
        <f>IF(VLOOKUP(CONCATENATE($C$3,"-",$D39),Languages!$A:$D,1,TRUE)=CONCATENATE($C$3,"-",$D39),VLOOKUP(CONCATENATE($C$3,"-",$D39),Languages!$A:$D,Summary!$C$7,TRUE),NA())</f>
        <v>Riskianalyyseistä saatua tietoa [kts. RISK-3d] hyödynnetään, kun määritetään poikkeavan toiminnan indikaattoreita.</v>
      </c>
      <c r="F39" s="291">
        <f t="shared" si="0"/>
        <v>0</v>
      </c>
      <c r="G39" s="311"/>
      <c r="H39" s="483"/>
      <c r="I39" s="483"/>
      <c r="J39" s="483"/>
      <c r="K39" s="492"/>
      <c r="L39" s="157"/>
      <c r="M39" s="256"/>
      <c r="N39" s="152"/>
      <c r="O39" s="991" t="str">
        <f>VLOOKUP(VLOOKUP($C$3&amp;"-"&amp;$D39,Import!$C:$D,2,FALSE),Parameters!$C$18:$F$22,Summary!$C$7,FALSE)</f>
        <v xml:space="preserve">0 - Vastaus puuttuu </v>
      </c>
      <c r="P39" s="1017" t="str">
        <f>IF(VLOOKUP($C$3&amp;"-"&amp;$D39,Import!$C:$H,3,FALSE)=0,"",VLOOKUP($C$3&amp;"-"&amp;$D39,Import!$C:$H,3,FALSE))</f>
        <v/>
      </c>
      <c r="Q39" s="1017" t="str">
        <f>IF(VLOOKUP($C$3&amp;"-"&amp;$D39,Import!$C:$H,4,FALSE)=0,"",VLOOKUP($C$3&amp;"-"&amp;$D39,Import!$C:$H,4,FALSE))</f>
        <v/>
      </c>
      <c r="R39" s="1017" t="str">
        <f>IF(VLOOKUP($C$3&amp;"-"&amp;$D39,Import!$C:$H,5,FALSE)=0,"",VLOOKUP($C$3&amp;"-"&amp;$D39,Import!$C:$H,5,FALSE))</f>
        <v/>
      </c>
      <c r="S39" s="1018" t="str">
        <f>IF(VLOOKUP($C$3&amp;"-"&amp;$D39,Import!$C:$H,6,FALSE)=0,"",VLOOKUP($C$3&amp;"-"&amp;$D39,Import!$C:$H,6,FALSE))</f>
        <v/>
      </c>
      <c r="T39" s="157"/>
      <c r="U39" s="256"/>
    </row>
    <row r="40" spans="1:21" s="300" customFormat="1" ht="45" customHeight="1" x14ac:dyDescent="0.2">
      <c r="A40" s="309"/>
      <c r="B40" s="1213"/>
      <c r="C40" s="1227"/>
      <c r="D40" s="407" t="s">
        <v>208</v>
      </c>
      <c r="E40" s="514" t="str">
        <f>IF(VLOOKUP(CONCATENATE($C$3,"-",$D40),Languages!$A:$D,1,TRUE)=CONCATENATE($C$3,"-",$D40),VLOOKUP(CONCATENATE($C$3,"-",$D40),Languages!$A:$D,Summary!$C$7,TRUE),NA())</f>
        <v>Poikkeavan toiminnan indikaattorit arvioidaan ja päivitetään aika ajoin ja määriteltyjen tilanteiden kuten järjestelmämuutosten tai ulkoisten tapahtumien yhteydessä.</v>
      </c>
      <c r="F40" s="403">
        <f t="shared" si="0"/>
        <v>0</v>
      </c>
      <c r="G40" s="489"/>
      <c r="H40" s="484"/>
      <c r="I40" s="484"/>
      <c r="J40" s="484"/>
      <c r="K40" s="493"/>
      <c r="L40" s="157"/>
      <c r="M40" s="256"/>
      <c r="N40" s="152"/>
      <c r="O40" s="996" t="str">
        <f>VLOOKUP(VLOOKUP($C$3&amp;"-"&amp;$D40,Import!$C:$D,2,FALSE),Parameters!$C$18:$F$22,Summary!$C$7,FALSE)</f>
        <v xml:space="preserve">0 - Vastaus puuttuu </v>
      </c>
      <c r="P40" s="1024" t="str">
        <f>IF(VLOOKUP($C$3&amp;"-"&amp;$D40,Import!$C:$H,3,FALSE)=0,"",VLOOKUP($C$3&amp;"-"&amp;$D40,Import!$C:$H,3,FALSE))</f>
        <v/>
      </c>
      <c r="Q40" s="1024" t="str">
        <f>IF(VLOOKUP($C$3&amp;"-"&amp;$D40,Import!$C:$H,4,FALSE)=0,"",VLOOKUP($C$3&amp;"-"&amp;$D40,Import!$C:$H,4,FALSE))</f>
        <v/>
      </c>
      <c r="R40" s="1024" t="str">
        <f>IF(VLOOKUP($C$3&amp;"-"&amp;$D40,Import!$C:$H,5,FALSE)=0,"",VLOOKUP($C$3&amp;"-"&amp;$D40,Import!$C:$H,5,FALSE))</f>
        <v/>
      </c>
      <c r="S40" s="1025" t="str">
        <f>IF(VLOOKUP($C$3&amp;"-"&amp;$D40,Import!$C:$H,6,FALSE)=0,"",VLOOKUP($C$3&amp;"-"&amp;$D40,Import!$C:$H,6,FALSE))</f>
        <v/>
      </c>
      <c r="T40" s="157"/>
      <c r="U40" s="256"/>
    </row>
    <row r="41" spans="1:21" s="180" customFormat="1" ht="30" customHeight="1" x14ac:dyDescent="0.25">
      <c r="A41" s="169"/>
      <c r="B41" s="273"/>
      <c r="C41" s="173">
        <v>3</v>
      </c>
      <c r="D41" s="173" t="str">
        <f>IF(VLOOKUP(CONCATENATE($C$3,"-",C41),Languages!$A:$D,1,TRUE)=CONCATENATE($C$3,"-",C41),VLOOKUP(CONCATENATE($C$3,"-",C41),Languages!$A:$D,Summary!$C$7,TRUE),NA())</f>
        <v>Tilannekuvan ylläpito</v>
      </c>
      <c r="E41" s="173"/>
      <c r="F41" s="296"/>
      <c r="G41" s="1006"/>
      <c r="H41" s="1030"/>
      <c r="I41" s="1030"/>
      <c r="J41" s="1030"/>
      <c r="K41" s="1030"/>
      <c r="L41" s="157"/>
      <c r="M41" s="256"/>
      <c r="N41" s="152"/>
      <c r="O41" s="296"/>
      <c r="P41" s="297"/>
      <c r="Q41" s="297"/>
      <c r="R41" s="297"/>
      <c r="S41" s="297"/>
      <c r="T41" s="157"/>
      <c r="U41" s="256"/>
    </row>
    <row r="42" spans="1:21" s="289" customFormat="1" ht="19.95" customHeight="1" x14ac:dyDescent="0.2">
      <c r="A42" s="308"/>
      <c r="B42" s="283"/>
      <c r="C42" s="284" t="str">
        <f>IF(VLOOKUP("GEN-LEVEL",Languages!$A:$D,1,TRUE)="GEN-LEVEL",VLOOKUP("GEN-LEVEL",Languages!$A:$D,Summary!$C$7,TRUE),NA())</f>
        <v>Taso</v>
      </c>
      <c r="D42" s="284"/>
      <c r="E42" s="285" t="str">
        <f>IF(VLOOKUP("GEN-PRACTICE",Languages!$A:$D,1,TRUE)="GEN-PRACTICE",VLOOKUP("GEN-PRACTICE",Languages!$A:$D,Summary!$C$7,TRUE),NA())</f>
        <v>Käytäntö</v>
      </c>
      <c r="F42" s="286"/>
      <c r="G42" s="1003" t="str">
        <f>IF(VLOOKUP("GEN-ANSWER",Languages!$A:$D,1,TRUE)="GEN-ANSWER",VLOOKUP("GEN-ANSWER",Languages!$A:$D,Summary!$C$7,TRUE),NA())</f>
        <v>Vastaus</v>
      </c>
      <c r="H42" s="1004" t="str">
        <f>IF(VLOOKUP("KM112",Languages!$A:$D,1,TRUE)="KM112",VLOOKUP("KM112",Languages!$A:$D,Summary!$C$7,TRUE),NA())</f>
        <v>Kommentit</v>
      </c>
      <c r="I42" s="1004" t="str">
        <f>IF(VLOOKUP("KM113",Languages!$A:$D,1,TRUE)="KM113",VLOOKUP("KM113",Languages!$A:$D,Summary!$C$7,TRUE),NA())</f>
        <v>Sisäinen viittaus</v>
      </c>
      <c r="J42" s="1004" t="str">
        <f>IF(VLOOKUP("KM114",Languages!$A:$D,1,TRUE)="KM114",VLOOKUP("KM114",Languages!$A:$D,Summary!$C$7,TRUE),NA())</f>
        <v>Ulkoinen viittaus</v>
      </c>
      <c r="K42" s="1004" t="str">
        <f>IF(VLOOKUP("KM115",Languages!$A:$D,1,TRUE)="KM115",VLOOKUP("KM115",Languages!$A:$D,Summary!$C$7,TRUE),NA())</f>
        <v>Kehityskohde</v>
      </c>
      <c r="L42" s="287"/>
      <c r="M42" s="288"/>
      <c r="N42" s="283"/>
      <c r="O42" s="503" t="str">
        <f>IF(VLOOKUP("GEN-ANSWER",Languages!$A:$D,1,TRUE)="GEN-ANSWER",VLOOKUP("GEN-ANSWER",Languages!$A:$D,Summary!$C$7,TRUE),NA())</f>
        <v>Vastaus</v>
      </c>
      <c r="P42" s="503" t="str">
        <f>IF(VLOOKUP("KM112",Languages!$A:$D,1,TRUE)="KM112",VLOOKUP("KM112",Languages!$A:$D,Summary!$C$7,TRUE),NA())</f>
        <v>Kommentit</v>
      </c>
      <c r="Q42" s="503" t="str">
        <f>IF(VLOOKUP("KM113",Languages!$A:$D,1,TRUE)="KM113",VLOOKUP("KM113",Languages!$A:$D,Summary!$C$7,TRUE),NA())</f>
        <v>Sisäinen viittaus</v>
      </c>
      <c r="R42" s="503" t="str">
        <f>IF(VLOOKUP("KM114",Languages!$A:$D,1,TRUE)="KM114",VLOOKUP("KM114",Languages!$A:$D,Summary!$C$7,TRUE),NA())</f>
        <v>Ulkoinen viittaus</v>
      </c>
      <c r="S42" s="503" t="str">
        <f>IF(VLOOKUP("KM115",Languages!$A:$D,1,TRUE)="KM115",VLOOKUP("KM115",Languages!$A:$D,Summary!$C$7,TRUE),NA())</f>
        <v>Kehityskohde</v>
      </c>
      <c r="T42" s="287"/>
      <c r="U42" s="288"/>
    </row>
    <row r="43" spans="1:21" s="315" customFormat="1" ht="19.95" customHeight="1" x14ac:dyDescent="0.2">
      <c r="A43" s="288"/>
      <c r="B43" s="283"/>
      <c r="C43" s="424">
        <v>1</v>
      </c>
      <c r="D43" s="412"/>
      <c r="E43" s="413"/>
      <c r="F43" s="415"/>
      <c r="G43" s="1007"/>
      <c r="H43" s="1008"/>
      <c r="I43" s="1008"/>
      <c r="J43" s="1008"/>
      <c r="K43" s="1009"/>
      <c r="L43" s="157"/>
      <c r="M43" s="256"/>
      <c r="N43" s="152"/>
      <c r="O43" s="562"/>
      <c r="P43" s="414"/>
      <c r="Q43" s="414"/>
      <c r="R43" s="414"/>
      <c r="S43" s="416"/>
      <c r="T43" s="157"/>
      <c r="U43" s="256"/>
    </row>
    <row r="44" spans="1:21" s="300" customFormat="1" ht="34.950000000000003" customHeight="1" x14ac:dyDescent="0.2">
      <c r="A44" s="309"/>
      <c r="B44" s="301"/>
      <c r="C44" s="1224">
        <v>2</v>
      </c>
      <c r="D44" s="406" t="s">
        <v>22</v>
      </c>
      <c r="E44" s="507" t="str">
        <f>IF(VLOOKUP(CONCATENATE($C$3,"-",$D44),Languages!$A:$D,1,TRUE)=CONCATENATE($C$3,"-",$D44),VLOOKUP(CONCATENATE($C$3,"-",$D44),Languages!$A:$D,Summary!$C$7,TRUE),NA())</f>
        <v>Toiminnon kyberturvallisuuden tilannekuvan viestimiseksi on määritetty menetelmät, joita päivitetään säännöllisesti.</v>
      </c>
      <c r="F44" s="396">
        <f t="shared" ref="F44:F51" si="1">IFERROR(INT(LEFT($G44,1)),0)</f>
        <v>0</v>
      </c>
      <c r="G44" s="485"/>
      <c r="H44" s="482"/>
      <c r="I44" s="482"/>
      <c r="J44" s="482"/>
      <c r="K44" s="491"/>
      <c r="L44" s="157"/>
      <c r="M44" s="256"/>
      <c r="N44" s="152"/>
      <c r="O44" s="988" t="str">
        <f>VLOOKUP(VLOOKUP($C$3&amp;"-"&amp;$D44,Import!$C:$D,2,FALSE),Parameters!$C$18:$F$22,Summary!$C$7,FALSE)</f>
        <v xml:space="preserve">0 - Vastaus puuttuu </v>
      </c>
      <c r="P44" s="1022" t="str">
        <f>IF(VLOOKUP($C$3&amp;"-"&amp;$D44,Import!$C:$H,3,FALSE)=0,"",VLOOKUP($C$3&amp;"-"&amp;$D44,Import!$C:$H,3,FALSE))</f>
        <v/>
      </c>
      <c r="Q44" s="1022" t="str">
        <f>IF(VLOOKUP($C$3&amp;"-"&amp;$D44,Import!$C:$H,4,FALSE)=0,"",VLOOKUP($C$3&amp;"-"&amp;$D44,Import!$C:$H,4,FALSE))</f>
        <v/>
      </c>
      <c r="R44" s="1022" t="str">
        <f>IF(VLOOKUP($C$3&amp;"-"&amp;$D44,Import!$C:$H,5,FALSE)=0,"",VLOOKUP($C$3&amp;"-"&amp;$D44,Import!$C:$H,5,FALSE))</f>
        <v/>
      </c>
      <c r="S44" s="1023" t="str">
        <f>IF(VLOOKUP($C$3&amp;"-"&amp;$D44,Import!$C:$H,6,FALSE)=0,"",VLOOKUP($C$3&amp;"-"&amp;$D44,Import!$C:$H,6,FALSE))</f>
        <v/>
      </c>
      <c r="T44" s="157"/>
      <c r="U44" s="256"/>
    </row>
    <row r="45" spans="1:21" s="300" customFormat="1" ht="34.950000000000003" customHeight="1" x14ac:dyDescent="0.2">
      <c r="A45" s="309"/>
      <c r="B45" s="301"/>
      <c r="C45" s="1237"/>
      <c r="D45" s="298" t="s">
        <v>23</v>
      </c>
      <c r="E45" s="508" t="str">
        <f>IF(VLOOKUP(CONCATENATE($C$3,"-",$D45),Languages!$A:$D,1,TRUE)=CONCATENATE($C$3,"-",$D45),VLOOKUP(CONCATENATE($C$3,"-",$D45),Languages!$A:$D,Summary!$C$7,TRUE),NA())</f>
        <v>Valvontatieto kootaan yhteen toiminnon operatiivisen tilannekuvan muodostamiseksi.</v>
      </c>
      <c r="F45" s="291">
        <f t="shared" si="1"/>
        <v>0</v>
      </c>
      <c r="G45" s="311"/>
      <c r="H45" s="483"/>
      <c r="I45" s="483"/>
      <c r="J45" s="483"/>
      <c r="K45" s="492"/>
      <c r="L45" s="157"/>
      <c r="M45" s="256"/>
      <c r="N45" s="152"/>
      <c r="O45" s="991" t="str">
        <f>VLOOKUP(VLOOKUP($C$3&amp;"-"&amp;$D45,Import!$C:$D,2,FALSE),Parameters!$C$18:$F$22,Summary!$C$7,FALSE)</f>
        <v xml:space="preserve">0 - Vastaus puuttuu </v>
      </c>
      <c r="P45" s="1017" t="str">
        <f>IF(VLOOKUP($C$3&amp;"-"&amp;$D45,Import!$C:$H,3,FALSE)=0,"",VLOOKUP($C$3&amp;"-"&amp;$D45,Import!$C:$H,3,FALSE))</f>
        <v/>
      </c>
      <c r="Q45" s="1017" t="str">
        <f>IF(VLOOKUP($C$3&amp;"-"&amp;$D45,Import!$C:$H,4,FALSE)=0,"",VLOOKUP($C$3&amp;"-"&amp;$D45,Import!$C:$H,4,FALSE))</f>
        <v/>
      </c>
      <c r="R45" s="1017" t="str">
        <f>IF(VLOOKUP($C$3&amp;"-"&amp;$D45,Import!$C:$H,5,FALSE)=0,"",VLOOKUP($C$3&amp;"-"&amp;$D45,Import!$C:$H,5,FALSE))</f>
        <v/>
      </c>
      <c r="S45" s="1018" t="str">
        <f>IF(VLOOKUP($C$3&amp;"-"&amp;$D45,Import!$C:$H,6,FALSE)=0,"",VLOOKUP($C$3&amp;"-"&amp;$D45,Import!$C:$H,6,FALSE))</f>
        <v/>
      </c>
      <c r="T45" s="157"/>
      <c r="U45" s="256"/>
    </row>
    <row r="46" spans="1:21" s="300" customFormat="1" ht="34.950000000000003" customHeight="1" x14ac:dyDescent="0.2">
      <c r="A46" s="309"/>
      <c r="B46" s="301"/>
      <c r="C46" s="1225"/>
      <c r="D46" s="407" t="s">
        <v>24</v>
      </c>
      <c r="E46" s="514" t="str">
        <f>IF(VLOOKUP(CONCATENATE($C$3,"-",$D46),Languages!$A:$D,1,TRUE)=CONCATENATE($C$3,"-",$D46),VLOOKUP(CONCATENATE($C$3,"-",$D46),Languages!$A:$D,Summary!$C$7,TRUE),NA())</f>
        <v>Tilannekuvan rikastamiseksi on saatavilla soveltuvaa tietoa eri puolilta organisaatiota.</v>
      </c>
      <c r="F46" s="403">
        <f t="shared" si="1"/>
        <v>0</v>
      </c>
      <c r="G46" s="489"/>
      <c r="H46" s="484"/>
      <c r="I46" s="484"/>
      <c r="J46" s="484"/>
      <c r="K46" s="493"/>
      <c r="L46" s="157"/>
      <c r="M46" s="256"/>
      <c r="N46" s="152"/>
      <c r="O46" s="996" t="str">
        <f>VLOOKUP(VLOOKUP($C$3&amp;"-"&amp;$D46,Import!$C:$D,2,FALSE),Parameters!$C$18:$F$22,Summary!$C$7,FALSE)</f>
        <v xml:space="preserve">0 - Vastaus puuttuu </v>
      </c>
      <c r="P46" s="1024" t="str">
        <f>IF(VLOOKUP($C$3&amp;"-"&amp;$D46,Import!$C:$H,3,FALSE)=0,"",VLOOKUP($C$3&amp;"-"&amp;$D46,Import!$C:$H,3,FALSE))</f>
        <v/>
      </c>
      <c r="Q46" s="1024" t="str">
        <f>IF(VLOOKUP($C$3&amp;"-"&amp;$D46,Import!$C:$H,4,FALSE)=0,"",VLOOKUP($C$3&amp;"-"&amp;$D46,Import!$C:$H,4,FALSE))</f>
        <v/>
      </c>
      <c r="R46" s="1024" t="str">
        <f>IF(VLOOKUP($C$3&amp;"-"&amp;$D46,Import!$C:$H,5,FALSE)=0,"",VLOOKUP($C$3&amp;"-"&amp;$D46,Import!$C:$H,5,FALSE))</f>
        <v/>
      </c>
      <c r="S46" s="1025" t="str">
        <f>IF(VLOOKUP($C$3&amp;"-"&amp;$D46,Import!$C:$H,6,FALSE)=0,"",VLOOKUP($C$3&amp;"-"&amp;$D46,Import!$C:$H,6,FALSE))</f>
        <v/>
      </c>
      <c r="T46" s="157"/>
      <c r="U46" s="256"/>
    </row>
    <row r="47" spans="1:21" s="300" customFormat="1" ht="45" customHeight="1" x14ac:dyDescent="0.2">
      <c r="A47" s="309"/>
      <c r="B47" s="301"/>
      <c r="C47" s="1226">
        <v>3</v>
      </c>
      <c r="D47" s="406" t="s">
        <v>25</v>
      </c>
      <c r="E47" s="507" t="str">
        <f>IF(VLOOKUP(CONCATENATE($C$3,"-",$D47),Languages!$A:$D,1,TRUE)=CONCATENATE($C$3,"-",$D47),VLOOKUP(CONCATENATE($C$3,"-",$D47),Languages!$A:$D,Summary!$C$7,TRUE),NA())</f>
        <v>Tilannekuvan raportoinnista on määritetty vaatimuksia, joihin kuuluu oikea-aikaisen kyberturvallisuustiedon jakaminen organisaation määrittelemille sidosryhmille.</v>
      </c>
      <c r="F47" s="396">
        <f t="shared" si="1"/>
        <v>0</v>
      </c>
      <c r="G47" s="485"/>
      <c r="H47" s="482"/>
      <c r="I47" s="482"/>
      <c r="J47" s="482"/>
      <c r="K47" s="491"/>
      <c r="L47" s="157"/>
      <c r="M47" s="256"/>
      <c r="N47" s="152"/>
      <c r="O47" s="988" t="str">
        <f>VLOOKUP(VLOOKUP($C$3&amp;"-"&amp;$D47,Import!$C:$D,2,FALSE),Parameters!$C$18:$F$22,Summary!$C$7,FALSE)</f>
        <v xml:space="preserve">0 - Vastaus puuttuu </v>
      </c>
      <c r="P47" s="1022" t="str">
        <f>IF(VLOOKUP($C$3&amp;"-"&amp;$D47,Import!$C:$H,3,FALSE)=0,"",VLOOKUP($C$3&amp;"-"&amp;$D47,Import!$C:$H,3,FALSE))</f>
        <v/>
      </c>
      <c r="Q47" s="1022" t="str">
        <f>IF(VLOOKUP($C$3&amp;"-"&amp;$D47,Import!$C:$H,4,FALSE)=0,"",VLOOKUP($C$3&amp;"-"&amp;$D47,Import!$C:$H,4,FALSE))</f>
        <v/>
      </c>
      <c r="R47" s="1022" t="str">
        <f>IF(VLOOKUP($C$3&amp;"-"&amp;$D47,Import!$C:$H,5,FALSE)=0,"",VLOOKUP($C$3&amp;"-"&amp;$D47,Import!$C:$H,5,FALSE))</f>
        <v/>
      </c>
      <c r="S47" s="1023" t="str">
        <f>IF(VLOOKUP($C$3&amp;"-"&amp;$D47,Import!$C:$H,6,FALSE)=0,"",VLOOKUP($C$3&amp;"-"&amp;$D47,Import!$C:$H,6,FALSE))</f>
        <v/>
      </c>
      <c r="T47" s="157"/>
      <c r="U47" s="256"/>
    </row>
    <row r="48" spans="1:21" s="300" customFormat="1" ht="34.950000000000003" customHeight="1" x14ac:dyDescent="0.2">
      <c r="A48" s="309"/>
      <c r="B48" s="301"/>
      <c r="C48" s="1228"/>
      <c r="D48" s="298" t="s">
        <v>26</v>
      </c>
      <c r="E48" s="508" t="str">
        <f>IF(VLOOKUP(CONCATENATE($C$3,"-",$D48),Languages!$A:$D,1,TRUE)=CONCATENATE($C$3,"-",$D48),VLOOKUP(CONCATENATE($C$3,"-",$D48),Languages!$A:$D,Summary!$C$7,TRUE),NA())</f>
        <v>Valvontatieto kootaan yhteen ja sitä analysoidaan tuottamaan (lähes) reaaliaikaista toiminnon kyberturvallisuuden tilannekuvaa.</v>
      </c>
      <c r="F48" s="291">
        <f t="shared" si="1"/>
        <v>0</v>
      </c>
      <c r="G48" s="311"/>
      <c r="H48" s="483"/>
      <c r="I48" s="483"/>
      <c r="J48" s="483"/>
      <c r="K48" s="492"/>
      <c r="L48" s="157"/>
      <c r="M48" s="256"/>
      <c r="N48" s="152"/>
      <c r="O48" s="991" t="str">
        <f>VLOOKUP(VLOOKUP($C$3&amp;"-"&amp;$D48,Import!$C:$D,2,FALSE),Parameters!$C$18:$F$22,Summary!$C$7,FALSE)</f>
        <v xml:space="preserve">0 - Vastaus puuttuu </v>
      </c>
      <c r="P48" s="1017" t="str">
        <f>IF(VLOOKUP($C$3&amp;"-"&amp;$D48,Import!$C:$H,3,FALSE)=0,"",VLOOKUP($C$3&amp;"-"&amp;$D48,Import!$C:$H,3,FALSE))</f>
        <v/>
      </c>
      <c r="Q48" s="1017" t="str">
        <f>IF(VLOOKUP($C$3&amp;"-"&amp;$D48,Import!$C:$H,4,FALSE)=0,"",VLOOKUP($C$3&amp;"-"&amp;$D48,Import!$C:$H,4,FALSE))</f>
        <v/>
      </c>
      <c r="R48" s="1017" t="str">
        <f>IF(VLOOKUP($C$3&amp;"-"&amp;$D48,Import!$C:$H,5,FALSE)=0,"",VLOOKUP($C$3&amp;"-"&amp;$D48,Import!$C:$H,5,FALSE))</f>
        <v/>
      </c>
      <c r="S48" s="1018" t="str">
        <f>IF(VLOOKUP($C$3&amp;"-"&amp;$D48,Import!$C:$H,6,FALSE)=0,"",VLOOKUP($C$3&amp;"-"&amp;$D48,Import!$C:$H,6,FALSE))</f>
        <v/>
      </c>
      <c r="T48" s="157"/>
      <c r="U48" s="256"/>
    </row>
    <row r="49" spans="1:21" s="300" customFormat="1" ht="45" customHeight="1" x14ac:dyDescent="0.2">
      <c r="A49" s="309"/>
      <c r="B49" s="301"/>
      <c r="C49" s="1228"/>
      <c r="D49" s="298" t="s">
        <v>27</v>
      </c>
      <c r="E49" s="508" t="str">
        <f>IF(VLOOKUP(CONCATENATE($C$3,"-",$D49),Languages!$A:$D,1,TRUE)=CONCATENATE($C$3,"-",$D49),VLOOKUP(CONCATENATE($C$3,"-",$D49),Languages!$A:$D,Summary!$C$7,TRUE),NA())</f>
        <v>Tilannekuvan rikastamiseksi kerätään soveltuvaa tietoa organisaation ulkopuolelta. Lisäksi tätä tietoa jaetaan organisaation määrittelemille sisäisille sidosryhmille.</v>
      </c>
      <c r="F49" s="291">
        <f t="shared" si="1"/>
        <v>0</v>
      </c>
      <c r="G49" s="311"/>
      <c r="H49" s="483"/>
      <c r="I49" s="483"/>
      <c r="J49" s="483"/>
      <c r="K49" s="492"/>
      <c r="L49" s="157"/>
      <c r="M49" s="256"/>
      <c r="N49" s="152"/>
      <c r="O49" s="991" t="str">
        <f>VLOOKUP(VLOOKUP($C$3&amp;"-"&amp;$D49,Import!$C:$D,2,FALSE),Parameters!$C$18:$F$22,Summary!$C$7,FALSE)</f>
        <v xml:space="preserve">0 - Vastaus puuttuu </v>
      </c>
      <c r="P49" s="1017" t="str">
        <f>IF(VLOOKUP($C$3&amp;"-"&amp;$D49,Import!$C:$H,3,FALSE)=0,"",VLOOKUP($C$3&amp;"-"&amp;$D49,Import!$C:$H,3,FALSE))</f>
        <v/>
      </c>
      <c r="Q49" s="1017" t="str">
        <f>IF(VLOOKUP($C$3&amp;"-"&amp;$D49,Import!$C:$H,4,FALSE)=0,"",VLOOKUP($C$3&amp;"-"&amp;$D49,Import!$C:$H,4,FALSE))</f>
        <v/>
      </c>
      <c r="R49" s="1017" t="str">
        <f>IF(VLOOKUP($C$3&amp;"-"&amp;$D49,Import!$C:$H,5,FALSE)=0,"",VLOOKUP($C$3&amp;"-"&amp;$D49,Import!$C:$H,5,FALSE))</f>
        <v/>
      </c>
      <c r="S49" s="1018" t="str">
        <f>IF(VLOOKUP($C$3&amp;"-"&amp;$D49,Import!$C:$H,6,FALSE)=0,"",VLOOKUP($C$3&amp;"-"&amp;$D49,Import!$C:$H,6,FALSE))</f>
        <v/>
      </c>
      <c r="T49" s="157"/>
      <c r="U49" s="256"/>
    </row>
    <row r="50" spans="1:21" s="300" customFormat="1" ht="34.950000000000003" customHeight="1" x14ac:dyDescent="0.2">
      <c r="A50" s="309"/>
      <c r="B50" s="301"/>
      <c r="C50" s="1228"/>
      <c r="D50" s="298" t="s">
        <v>28</v>
      </c>
      <c r="E50" s="508" t="str">
        <f>IF(VLOOKUP(CONCATENATE($C$3,"-",$D50),Languages!$A:$D,1,TRUE)=CONCATENATE($C$3,"-",$D50),VLOOKUP(CONCATENATE($C$3,"-",$D50),Languages!$A:$D,Summary!$C$7,TRUE),NA())</f>
        <v>Vastaanotetun kyberturvallisuustiedon analysointiin on määritetty toimenpiteet, jotka tukevat tilannekuvan tuottamista.</v>
      </c>
      <c r="F50" s="291">
        <f t="shared" si="1"/>
        <v>0</v>
      </c>
      <c r="G50" s="311"/>
      <c r="H50" s="483"/>
      <c r="I50" s="483"/>
      <c r="J50" s="483"/>
      <c r="K50" s="492"/>
      <c r="L50" s="157"/>
      <c r="M50" s="256"/>
      <c r="N50" s="152"/>
      <c r="O50" s="991" t="str">
        <f>VLOOKUP(VLOOKUP($C$3&amp;"-"&amp;$D50,Import!$C:$D,2,FALSE),Parameters!$C$18:$F$22,Summary!$C$7,FALSE)</f>
        <v xml:space="preserve">0 - Vastaus puuttuu </v>
      </c>
      <c r="P50" s="1017" t="str">
        <f>IF(VLOOKUP($C$3&amp;"-"&amp;$D50,Import!$C:$H,3,FALSE)=0,"",VLOOKUP($C$3&amp;"-"&amp;$D50,Import!$C:$H,3,FALSE))</f>
        <v/>
      </c>
      <c r="Q50" s="1017" t="str">
        <f>IF(VLOOKUP($C$3&amp;"-"&amp;$D50,Import!$C:$H,4,FALSE)=0,"",VLOOKUP($C$3&amp;"-"&amp;$D50,Import!$C:$H,4,FALSE))</f>
        <v/>
      </c>
      <c r="R50" s="1017" t="str">
        <f>IF(VLOOKUP($C$3&amp;"-"&amp;$D50,Import!$C:$H,5,FALSE)=0,"",VLOOKUP($C$3&amp;"-"&amp;$D50,Import!$C:$H,5,FALSE))</f>
        <v/>
      </c>
      <c r="S50" s="1018" t="str">
        <f>IF(VLOOKUP($C$3&amp;"-"&amp;$D50,Import!$C:$H,6,FALSE)=0,"",VLOOKUP($C$3&amp;"-"&amp;$D50,Import!$C:$H,6,FALSE))</f>
        <v/>
      </c>
      <c r="T50" s="157"/>
      <c r="U50" s="256"/>
    </row>
    <row r="51" spans="1:21" s="300" customFormat="1" ht="60" customHeight="1" x14ac:dyDescent="0.2">
      <c r="A51" s="309"/>
      <c r="B51" s="301"/>
      <c r="C51" s="1227"/>
      <c r="D51" s="407" t="s">
        <v>244</v>
      </c>
      <c r="E51" s="514" t="str">
        <f>IF(VLOOKUP(CONCATENATE($C$3,"-",$D51),Languages!$A:$D,1,TRUE)=CONCATENATE($C$3,"-",$D51),VLOOKUP(CONCATENATE($C$3,"-",$D51),Languages!$A:$D,Summary!$C$7,TRUE),NA())</f>
        <v>Organisaatio on dokumentoinut ennalta määritellyt toimintatilat, jotka voidaan ottaa käyttöön toiminnon kyberturvallisuustilanteen niin vaatiessa ja/tai muiden osioiden toiminnan niin vaatiessa [kts. THREAT-1k, RESPONSE-3h].</v>
      </c>
      <c r="F51" s="403">
        <f t="shared" si="1"/>
        <v>0</v>
      </c>
      <c r="G51" s="489"/>
      <c r="H51" s="484"/>
      <c r="I51" s="484"/>
      <c r="J51" s="484"/>
      <c r="K51" s="493"/>
      <c r="L51" s="157"/>
      <c r="M51" s="256"/>
      <c r="N51" s="152"/>
      <c r="O51" s="996" t="str">
        <f>VLOOKUP(VLOOKUP($C$3&amp;"-"&amp;$D51,Import!$C:$D,2,FALSE),Parameters!$C$18:$F$22,Summary!$C$7,FALSE)</f>
        <v xml:space="preserve">0 - Vastaus puuttuu </v>
      </c>
      <c r="P51" s="1024" t="str">
        <f>IF(VLOOKUP($C$3&amp;"-"&amp;$D51,Import!$C:$H,3,FALSE)=0,"",VLOOKUP($C$3&amp;"-"&amp;$D51,Import!$C:$H,3,FALSE))</f>
        <v/>
      </c>
      <c r="Q51" s="1024" t="str">
        <f>IF(VLOOKUP($C$3&amp;"-"&amp;$D51,Import!$C:$H,4,FALSE)=0,"",VLOOKUP($C$3&amp;"-"&amp;$D51,Import!$C:$H,4,FALSE))</f>
        <v/>
      </c>
      <c r="R51" s="1024" t="str">
        <f>IF(VLOOKUP($C$3&amp;"-"&amp;$D51,Import!$C:$H,5,FALSE)=0,"",VLOOKUP($C$3&amp;"-"&amp;$D51,Import!$C:$H,5,FALSE))</f>
        <v/>
      </c>
      <c r="S51" s="1025" t="str">
        <f>IF(VLOOKUP($C$3&amp;"-"&amp;$D51,Import!$C:$H,6,FALSE)=0,"",VLOOKUP($C$3&amp;"-"&amp;$D51,Import!$C:$H,6,FALSE))</f>
        <v/>
      </c>
      <c r="T51" s="157"/>
      <c r="U51" s="256"/>
    </row>
    <row r="52" spans="1:21" s="180" customFormat="1" ht="30" customHeight="1" x14ac:dyDescent="0.25">
      <c r="A52" s="169"/>
      <c r="B52" s="273"/>
      <c r="C52" s="173">
        <v>4</v>
      </c>
      <c r="D52" s="173" t="str">
        <f>IF(VLOOKUP(CONCATENATE($C$3,"-",C52),Languages!$A:$D,1,TRUE)=CONCATENATE($C$3,"-",C52),VLOOKUP(CONCATENATE($C$3,"-",C52),Languages!$A:$D,Summary!$C$7,TRUE),NA())</f>
        <v>Yleisiä hallintatoimia</v>
      </c>
      <c r="E52" s="173"/>
      <c r="F52" s="296"/>
      <c r="G52" s="1006"/>
      <c r="H52" s="1030"/>
      <c r="I52" s="1030"/>
      <c r="J52" s="1030"/>
      <c r="K52" s="1030"/>
      <c r="L52" s="157"/>
      <c r="M52" s="256"/>
      <c r="N52" s="152"/>
      <c r="O52" s="296"/>
      <c r="P52" s="297"/>
      <c r="Q52" s="297"/>
      <c r="R52" s="297"/>
      <c r="S52" s="297"/>
      <c r="T52" s="157"/>
      <c r="U52" s="256"/>
    </row>
    <row r="53" spans="1:21" s="289" customFormat="1" ht="19.95" customHeight="1" x14ac:dyDescent="0.2">
      <c r="A53" s="308"/>
      <c r="B53" s="283"/>
      <c r="C53" s="284" t="str">
        <f>IF(VLOOKUP("GEN-LEVEL",Languages!$A:$D,1,TRUE)="GEN-LEVEL",VLOOKUP("GEN-LEVEL",Languages!$A:$D,Summary!$C$7,TRUE),NA())</f>
        <v>Taso</v>
      </c>
      <c r="D53" s="284"/>
      <c r="E53" s="285" t="str">
        <f>IF(VLOOKUP("GEN-PRACTICE",Languages!$A:$D,1,TRUE)="GEN-PRACTICE",VLOOKUP("GEN-PRACTICE",Languages!$A:$D,Summary!$C$7,TRUE),NA())</f>
        <v>Käytäntö</v>
      </c>
      <c r="F53" s="286"/>
      <c r="G53" s="1003" t="str">
        <f>IF(VLOOKUP("GEN-ANSWER",Languages!$A:$D,1,TRUE)="GEN-ANSWER",VLOOKUP("GEN-ANSWER",Languages!$A:$D,Summary!$C$7,TRUE),NA())</f>
        <v>Vastaus</v>
      </c>
      <c r="H53" s="1004" t="str">
        <f>IF(VLOOKUP("KM112",Languages!$A:$D,1,TRUE)="KM112",VLOOKUP("KM112",Languages!$A:$D,Summary!$C$7,TRUE),NA())</f>
        <v>Kommentit</v>
      </c>
      <c r="I53" s="1004" t="str">
        <f>IF(VLOOKUP("KM113",Languages!$A:$D,1,TRUE)="KM113",VLOOKUP("KM113",Languages!$A:$D,Summary!$C$7,TRUE),NA())</f>
        <v>Sisäinen viittaus</v>
      </c>
      <c r="J53" s="1004" t="str">
        <f>IF(VLOOKUP("KM114",Languages!$A:$D,1,TRUE)="KM114",VLOOKUP("KM114",Languages!$A:$D,Summary!$C$7,TRUE),NA())</f>
        <v>Ulkoinen viittaus</v>
      </c>
      <c r="K53" s="1004" t="str">
        <f>IF(VLOOKUP("KM115",Languages!$A:$D,1,TRUE)="KM115",VLOOKUP("KM115",Languages!$A:$D,Summary!$C$7,TRUE),NA())</f>
        <v>Kehityskohde</v>
      </c>
      <c r="L53" s="287"/>
      <c r="M53" s="288"/>
      <c r="N53" s="283"/>
      <c r="O53" s="503" t="str">
        <f>IF(VLOOKUP("GEN-ANSWER",Languages!$A:$D,1,TRUE)="GEN-ANSWER",VLOOKUP("GEN-ANSWER",Languages!$A:$D,Summary!$C$7,TRUE),NA())</f>
        <v>Vastaus</v>
      </c>
      <c r="P53" s="503" t="str">
        <f>IF(VLOOKUP("KM112",Languages!$A:$D,1,TRUE)="KM112",VLOOKUP("KM112",Languages!$A:$D,Summary!$C$7,TRUE),NA())</f>
        <v>Kommentit</v>
      </c>
      <c r="Q53" s="503" t="str">
        <f>IF(VLOOKUP("KM113",Languages!$A:$D,1,TRUE)="KM113",VLOOKUP("KM113",Languages!$A:$D,Summary!$C$7,TRUE),NA())</f>
        <v>Sisäinen viittaus</v>
      </c>
      <c r="R53" s="503" t="str">
        <f>IF(VLOOKUP("KM114",Languages!$A:$D,1,TRUE)="KM114",VLOOKUP("KM114",Languages!$A:$D,Summary!$C$7,TRUE),NA())</f>
        <v>Ulkoinen viittaus</v>
      </c>
      <c r="S53" s="503" t="str">
        <f>IF(VLOOKUP("KM115",Languages!$A:$D,1,TRUE)="KM115",VLOOKUP("KM115",Languages!$A:$D,Summary!$C$7,TRUE),NA())</f>
        <v>Kehityskohde</v>
      </c>
      <c r="T53" s="287"/>
      <c r="U53" s="288"/>
    </row>
    <row r="54" spans="1:21" s="315" customFormat="1" ht="19.95" customHeight="1" x14ac:dyDescent="0.2">
      <c r="A54" s="288"/>
      <c r="B54" s="283"/>
      <c r="C54" s="497">
        <v>1</v>
      </c>
      <c r="D54" s="412"/>
      <c r="E54" s="413"/>
      <c r="F54" s="415"/>
      <c r="G54" s="1007"/>
      <c r="H54" s="1008"/>
      <c r="I54" s="1008"/>
      <c r="J54" s="1008"/>
      <c r="K54" s="1009"/>
      <c r="L54" s="157"/>
      <c r="M54" s="256"/>
      <c r="N54" s="152"/>
      <c r="O54" s="562"/>
      <c r="P54" s="414"/>
      <c r="Q54" s="414"/>
      <c r="R54" s="414"/>
      <c r="S54" s="416"/>
      <c r="T54" s="157"/>
      <c r="U54" s="256"/>
    </row>
    <row r="55" spans="1:21" s="300" customFormat="1" ht="34.950000000000003" customHeight="1" x14ac:dyDescent="0.2">
      <c r="A55" s="309"/>
      <c r="B55" s="1213"/>
      <c r="C55" s="1224">
        <v>2</v>
      </c>
      <c r="D55" s="406" t="s">
        <v>123</v>
      </c>
      <c r="E55" s="507" t="str">
        <f>IF(VLOOKUP(CONCATENATE($C$3,"-",$D55),Languages!$A:$D,1,TRUE)=CONCATENATE($C$3,"-",$D55),VLOOKUP(CONCATENATE($C$3,"-",$D55),Languages!$A:$D,Summary!$C$7,TRUE),NA())</f>
        <v>SITUATION-osion toimintaa varten on määritetty dokumentoidut toimintatavat, joita noudatetaan ja päivitetään säännöllisesti.</v>
      </c>
      <c r="F55" s="396">
        <f t="shared" ref="F55:F60" si="2">IFERROR(INT(LEFT($G55,1)),0)</f>
        <v>0</v>
      </c>
      <c r="G55" s="485"/>
      <c r="H55" s="482"/>
      <c r="I55" s="482"/>
      <c r="J55" s="482"/>
      <c r="K55" s="491"/>
      <c r="L55" s="157"/>
      <c r="M55" s="256"/>
      <c r="N55" s="152"/>
      <c r="O55" s="988" t="str">
        <f>VLOOKUP(VLOOKUP($C$3&amp;"-"&amp;$D55,Import!$C:$D,2,FALSE),Parameters!$C$18:$F$22,Summary!$C$7,FALSE)</f>
        <v xml:space="preserve">0 - Vastaus puuttuu </v>
      </c>
      <c r="P55" s="1022" t="str">
        <f>IF(VLOOKUP($C$3&amp;"-"&amp;$D55,Import!$C:$H,3,FALSE)=0,"",VLOOKUP($C$3&amp;"-"&amp;$D55,Import!$C:$H,3,FALSE))</f>
        <v/>
      </c>
      <c r="Q55" s="1022" t="str">
        <f>IF(VLOOKUP($C$3&amp;"-"&amp;$D55,Import!$C:$H,4,FALSE)=0,"",VLOOKUP($C$3&amp;"-"&amp;$D55,Import!$C:$H,4,FALSE))</f>
        <v/>
      </c>
      <c r="R55" s="1022" t="str">
        <f>IF(VLOOKUP($C$3&amp;"-"&amp;$D55,Import!$C:$H,5,FALSE)=0,"",VLOOKUP($C$3&amp;"-"&amp;$D55,Import!$C:$H,5,FALSE))</f>
        <v/>
      </c>
      <c r="S55" s="1023" t="str">
        <f>IF(VLOOKUP($C$3&amp;"-"&amp;$D55,Import!$C:$H,6,FALSE)=0,"",VLOOKUP($C$3&amp;"-"&amp;$D55,Import!$C:$H,6,FALSE))</f>
        <v/>
      </c>
      <c r="T55" s="157"/>
      <c r="U55" s="256"/>
    </row>
    <row r="56" spans="1:21" s="300" customFormat="1" ht="34.950000000000003" customHeight="1" x14ac:dyDescent="0.2">
      <c r="A56" s="309"/>
      <c r="B56" s="1213"/>
      <c r="C56" s="1225"/>
      <c r="D56" s="407" t="s">
        <v>126</v>
      </c>
      <c r="E56" s="514" t="str">
        <f>IF(VLOOKUP(CONCATENATE($C$3,"-",$D56),Languages!$A:$D,1,TRUE)=CONCATENATE($C$3,"-",$D56),VLOOKUP(CONCATENATE($C$3,"-",$D56),Languages!$A:$D,Summary!$C$7,TRUE),NA())</f>
        <v>SITUATION-osion toimintaa varten on tarjolla riittävät resurssit (henkilöstö, rahoitus ja työkalut).</v>
      </c>
      <c r="F56" s="403">
        <f t="shared" si="2"/>
        <v>0</v>
      </c>
      <c r="G56" s="489"/>
      <c r="H56" s="484"/>
      <c r="I56" s="484"/>
      <c r="J56" s="484"/>
      <c r="K56" s="493"/>
      <c r="L56" s="157"/>
      <c r="M56" s="256"/>
      <c r="N56" s="152"/>
      <c r="O56" s="996" t="str">
        <f>VLOOKUP(VLOOKUP($C$3&amp;"-"&amp;$D56,Import!$C:$D,2,FALSE),Parameters!$C$18:$F$22,Summary!$C$7,FALSE)</f>
        <v xml:space="preserve">0 - Vastaus puuttuu </v>
      </c>
      <c r="P56" s="1024" t="str">
        <f>IF(VLOOKUP($C$3&amp;"-"&amp;$D56,Import!$C:$H,3,FALSE)=0,"",VLOOKUP($C$3&amp;"-"&amp;$D56,Import!$C:$H,3,FALSE))</f>
        <v/>
      </c>
      <c r="Q56" s="1024" t="str">
        <f>IF(VLOOKUP($C$3&amp;"-"&amp;$D56,Import!$C:$H,4,FALSE)=0,"",VLOOKUP($C$3&amp;"-"&amp;$D56,Import!$C:$H,4,FALSE))</f>
        <v/>
      </c>
      <c r="R56" s="1024" t="str">
        <f>IF(VLOOKUP($C$3&amp;"-"&amp;$D56,Import!$C:$H,5,FALSE)=0,"",VLOOKUP($C$3&amp;"-"&amp;$D56,Import!$C:$H,5,FALSE))</f>
        <v/>
      </c>
      <c r="S56" s="1025" t="str">
        <f>IF(VLOOKUP($C$3&amp;"-"&amp;$D56,Import!$C:$H,6,FALSE)=0,"",VLOOKUP($C$3&amp;"-"&amp;$D56,Import!$C:$H,6,FALSE))</f>
        <v/>
      </c>
      <c r="T56" s="157"/>
      <c r="U56" s="256"/>
    </row>
    <row r="57" spans="1:21" s="300" customFormat="1" ht="48.6" customHeight="1" x14ac:dyDescent="0.2">
      <c r="A57" s="309"/>
      <c r="B57" s="1213"/>
      <c r="C57" s="1226">
        <v>3</v>
      </c>
      <c r="D57" s="406" t="s">
        <v>129</v>
      </c>
      <c r="E57" s="507" t="str">
        <f>IF(VLOOKUP(CONCATENATE($C$3,"-",$D57),Languages!$A:$D,1,TRUE)=CONCATENATE($C$3,"-",$D57),VLOOKUP(CONCATENATE($C$3,"-",$D57),Languages!$A:$D,Summary!$C$7,TRUE),NA())</f>
        <v>SITUATION-osion toimintaa ohjataan vaatimuksilla, jotka on asetettu organisaation johtotason politiikassa (tai vastaavassa ohjeistuksessa).</v>
      </c>
      <c r="F57" s="396">
        <f t="shared" si="2"/>
        <v>0</v>
      </c>
      <c r="G57" s="485"/>
      <c r="H57" s="482"/>
      <c r="I57" s="482"/>
      <c r="J57" s="482"/>
      <c r="K57" s="491"/>
      <c r="L57" s="157"/>
      <c r="M57" s="256"/>
      <c r="N57" s="152"/>
      <c r="O57" s="988" t="str">
        <f>VLOOKUP(VLOOKUP($C$3&amp;"-"&amp;$D57,Import!$C:$D,2,FALSE),Parameters!$C$18:$F$22,Summary!$C$7,FALSE)</f>
        <v xml:space="preserve">0 - Vastaus puuttuu </v>
      </c>
      <c r="P57" s="1022" t="str">
        <f>IF(VLOOKUP($C$3&amp;"-"&amp;$D57,Import!$C:$H,3,FALSE)=0,"",VLOOKUP($C$3&amp;"-"&amp;$D57,Import!$C:$H,3,FALSE))</f>
        <v/>
      </c>
      <c r="Q57" s="1022" t="str">
        <f>IF(VLOOKUP($C$3&amp;"-"&amp;$D57,Import!$C:$H,4,FALSE)=0,"",VLOOKUP($C$3&amp;"-"&amp;$D57,Import!$C:$H,4,FALSE))</f>
        <v/>
      </c>
      <c r="R57" s="1022" t="str">
        <f>IF(VLOOKUP($C$3&amp;"-"&amp;$D57,Import!$C:$H,5,FALSE)=0,"",VLOOKUP($C$3&amp;"-"&amp;$D57,Import!$C:$H,5,FALSE))</f>
        <v/>
      </c>
      <c r="S57" s="1023" t="str">
        <f>IF(VLOOKUP($C$3&amp;"-"&amp;$D57,Import!$C:$H,6,FALSE)=0,"",VLOOKUP($C$3&amp;"-"&amp;$D57,Import!$C:$H,6,FALSE))</f>
        <v/>
      </c>
      <c r="T57" s="157"/>
      <c r="U57" s="256"/>
    </row>
    <row r="58" spans="1:21" s="300" customFormat="1" ht="34.950000000000003" customHeight="1" x14ac:dyDescent="0.2">
      <c r="A58" s="309"/>
      <c r="B58" s="1213"/>
      <c r="C58" s="1228"/>
      <c r="D58" s="298" t="s">
        <v>132</v>
      </c>
      <c r="E58" s="508" t="str">
        <f>IF(VLOOKUP(CONCATENATE($C$3,"-",$D58),Languages!$A:$D,1,TRUE)=CONCATENATE($C$3,"-",$D58),VLOOKUP(CONCATENATE($C$3,"-",$D58),Languages!$A:$D,Summary!$C$7,TRUE),NA())</f>
        <v>SITUATION-osion toimintaa suorittavilla työntekijöillä on riittävät tiedot ja taidot tehtäviensä suorittamiseen.</v>
      </c>
      <c r="F58" s="291">
        <f t="shared" si="2"/>
        <v>0</v>
      </c>
      <c r="G58" s="311"/>
      <c r="H58" s="483"/>
      <c r="I58" s="483"/>
      <c r="J58" s="483"/>
      <c r="K58" s="492"/>
      <c r="L58" s="157"/>
      <c r="M58" s="256"/>
      <c r="N58" s="152"/>
      <c r="O58" s="991" t="str">
        <f>VLOOKUP(VLOOKUP($C$3&amp;"-"&amp;$D58,Import!$C:$D,2,FALSE),Parameters!$C$18:$F$22,Summary!$C$7,FALSE)</f>
        <v xml:space="preserve">0 - Vastaus puuttuu </v>
      </c>
      <c r="P58" s="1017" t="str">
        <f>IF(VLOOKUP($C$3&amp;"-"&amp;$D58,Import!$C:$H,3,FALSE)=0,"",VLOOKUP($C$3&amp;"-"&amp;$D58,Import!$C:$H,3,FALSE))</f>
        <v/>
      </c>
      <c r="Q58" s="1017" t="str">
        <f>IF(VLOOKUP($C$3&amp;"-"&amp;$D58,Import!$C:$H,4,FALSE)=0,"",VLOOKUP($C$3&amp;"-"&amp;$D58,Import!$C:$H,4,FALSE))</f>
        <v/>
      </c>
      <c r="R58" s="1017" t="str">
        <f>IF(VLOOKUP($C$3&amp;"-"&amp;$D58,Import!$C:$H,5,FALSE)=0,"",VLOOKUP($C$3&amp;"-"&amp;$D58,Import!$C:$H,5,FALSE))</f>
        <v/>
      </c>
      <c r="S58" s="1018" t="str">
        <f>IF(VLOOKUP($C$3&amp;"-"&amp;$D58,Import!$C:$H,6,FALSE)=0,"",VLOOKUP($C$3&amp;"-"&amp;$D58,Import!$C:$H,6,FALSE))</f>
        <v/>
      </c>
      <c r="T58" s="157"/>
      <c r="U58" s="256"/>
    </row>
    <row r="59" spans="1:21" s="300" customFormat="1" ht="46.2" customHeight="1" x14ac:dyDescent="0.2">
      <c r="A59" s="309"/>
      <c r="B59" s="1213"/>
      <c r="C59" s="1228"/>
      <c r="D59" s="298" t="s">
        <v>135</v>
      </c>
      <c r="E59" s="508" t="str">
        <f>IF(VLOOKUP(CONCATENATE($C$3,"-",$D59),Languages!$A:$D,1,TRUE)=CONCATENATE($C$3,"-",$D59),VLOOKUP(CONCATENATE($C$3,"-",$D59),Languages!$A:$D,Summary!$C$7,TRUE),NA())</f>
        <v>SITUATION-osion toiminnan suorittamiseen tarvittavat vastuut, tilivelvollisuudet ja valtuutukset on jalkautettu soveltuville työntekijöille.</v>
      </c>
      <c r="F59" s="291">
        <f t="shared" si="2"/>
        <v>0</v>
      </c>
      <c r="G59" s="311"/>
      <c r="H59" s="483"/>
      <c r="I59" s="483"/>
      <c r="J59" s="483"/>
      <c r="K59" s="492"/>
      <c r="L59" s="157"/>
      <c r="M59" s="256"/>
      <c r="N59" s="152"/>
      <c r="O59" s="991" t="str">
        <f>VLOOKUP(VLOOKUP($C$3&amp;"-"&amp;$D59,Import!$C:$D,2,FALSE),Parameters!$C$18:$F$22,Summary!$C$7,FALSE)</f>
        <v xml:space="preserve">0 - Vastaus puuttuu </v>
      </c>
      <c r="P59" s="1017" t="str">
        <f>IF(VLOOKUP($C$3&amp;"-"&amp;$D59,Import!$C:$H,3,FALSE)=0,"",VLOOKUP($C$3&amp;"-"&amp;$D59,Import!$C:$H,3,FALSE))</f>
        <v/>
      </c>
      <c r="Q59" s="1017" t="str">
        <f>IF(VLOOKUP($C$3&amp;"-"&amp;$D59,Import!$C:$H,4,FALSE)=0,"",VLOOKUP($C$3&amp;"-"&amp;$D59,Import!$C:$H,4,FALSE))</f>
        <v/>
      </c>
      <c r="R59" s="1017" t="str">
        <f>IF(VLOOKUP($C$3&amp;"-"&amp;$D59,Import!$C:$H,5,FALSE)=0,"",VLOOKUP($C$3&amp;"-"&amp;$D59,Import!$C:$H,5,FALSE))</f>
        <v/>
      </c>
      <c r="S59" s="1018" t="str">
        <f>IF(VLOOKUP($C$3&amp;"-"&amp;$D59,Import!$C:$H,6,FALSE)=0,"",VLOOKUP($C$3&amp;"-"&amp;$D59,Import!$C:$H,6,FALSE))</f>
        <v/>
      </c>
      <c r="T59" s="157"/>
      <c r="U59" s="256"/>
    </row>
    <row r="60" spans="1:21" s="300" customFormat="1" ht="34.950000000000003" customHeight="1" x14ac:dyDescent="0.2">
      <c r="A60" s="309"/>
      <c r="B60" s="1213"/>
      <c r="C60" s="1227"/>
      <c r="D60" s="407" t="s">
        <v>137</v>
      </c>
      <c r="E60" s="514" t="str">
        <f>IF(VLOOKUP(CONCATENATE($C$3,"-",$D60),Languages!$A:$D,1,TRUE)=CONCATENATE($C$3,"-",$D60),VLOOKUP(CONCATENATE($C$3,"-",$D60),Languages!$A:$D,Summary!$C$7,TRUE),NA())</f>
        <v>SITUATION-osion toiminnan vaikuttavuutta arvioidaan ja seurataan.</v>
      </c>
      <c r="F60" s="403">
        <f t="shared" si="2"/>
        <v>0</v>
      </c>
      <c r="G60" s="489"/>
      <c r="H60" s="484"/>
      <c r="I60" s="484"/>
      <c r="J60" s="484"/>
      <c r="K60" s="493"/>
      <c r="L60" s="157"/>
      <c r="M60" s="256"/>
      <c r="N60" s="152"/>
      <c r="O60" s="996" t="str">
        <f>VLOOKUP(VLOOKUP($C$3&amp;"-"&amp;$D60,Import!$C:$D,2,FALSE),Parameters!$C$18:$F$22,Summary!$C$7,FALSE)</f>
        <v xml:space="preserve">0 - Vastaus puuttuu </v>
      </c>
      <c r="P60" s="1024" t="str">
        <f>IF(VLOOKUP($C$3&amp;"-"&amp;$D60,Import!$C:$H,3,FALSE)=0,"",VLOOKUP($C$3&amp;"-"&amp;$D60,Import!$C:$H,3,FALSE))</f>
        <v/>
      </c>
      <c r="Q60" s="1024" t="str">
        <f>IF(VLOOKUP($C$3&amp;"-"&amp;$D60,Import!$C:$H,4,FALSE)=0,"",VLOOKUP($C$3&amp;"-"&amp;$D60,Import!$C:$H,4,FALSE))</f>
        <v/>
      </c>
      <c r="R60" s="1024" t="str">
        <f>IF(VLOOKUP($C$3&amp;"-"&amp;$D60,Import!$C:$H,5,FALSE)=0,"",VLOOKUP($C$3&amp;"-"&amp;$D60,Import!$C:$H,5,FALSE))</f>
        <v/>
      </c>
      <c r="S60" s="1025" t="str">
        <f>IF(VLOOKUP($C$3&amp;"-"&amp;$D60,Import!$C:$H,6,FALSE)=0,"",VLOOKUP($C$3&amp;"-"&amp;$D60,Import!$C:$H,6,FALSE))</f>
        <v/>
      </c>
      <c r="T60" s="157"/>
      <c r="U60" s="256"/>
    </row>
    <row r="61" spans="1:21" x14ac:dyDescent="0.2">
      <c r="A61" s="184"/>
      <c r="B61" s="333"/>
      <c r="C61" s="334"/>
      <c r="D61" s="335"/>
      <c r="E61" s="336"/>
      <c r="F61" s="337"/>
      <c r="G61" s="338"/>
      <c r="H61" s="339"/>
      <c r="I61" s="339"/>
      <c r="J61" s="339"/>
      <c r="K61" s="339"/>
      <c r="L61" s="157"/>
      <c r="M61" s="256"/>
      <c r="N61" s="152"/>
      <c r="O61" s="338"/>
      <c r="P61" s="339"/>
      <c r="Q61" s="339"/>
      <c r="R61" s="339"/>
      <c r="S61" s="339"/>
      <c r="T61" s="157"/>
      <c r="U61" s="256"/>
    </row>
    <row r="62" spans="1:21" x14ac:dyDescent="0.25">
      <c r="A62" s="184"/>
      <c r="B62" s="184"/>
      <c r="C62" s="184"/>
      <c r="D62" s="184"/>
      <c r="E62" s="184"/>
      <c r="F62" s="340"/>
      <c r="G62" s="184"/>
      <c r="H62" s="184"/>
      <c r="I62" s="184"/>
      <c r="J62" s="184"/>
      <c r="K62" s="184"/>
      <c r="L62" s="516"/>
      <c r="M62" s="313"/>
      <c r="N62" s="516"/>
      <c r="O62" s="184"/>
      <c r="P62" s="184"/>
      <c r="Q62" s="184"/>
      <c r="R62" s="184"/>
      <c r="S62" s="184"/>
      <c r="T62" s="516"/>
      <c r="U62" s="313"/>
    </row>
    <row r="63" spans="1:21" x14ac:dyDescent="0.25">
      <c r="L63" s="344"/>
      <c r="M63" s="343"/>
      <c r="N63" s="185"/>
      <c r="T63" s="344"/>
      <c r="U63" s="343"/>
    </row>
  </sheetData>
  <sheetProtection sheet="1" formatCells="0" formatColumns="0" formatRows="0"/>
  <mergeCells count="22">
    <mergeCell ref="C55:C56"/>
    <mergeCell ref="C57:C60"/>
    <mergeCell ref="C47:C51"/>
    <mergeCell ref="C37:C40"/>
    <mergeCell ref="I8:J8"/>
    <mergeCell ref="I10:J11"/>
    <mergeCell ref="C13:K13"/>
    <mergeCell ref="C31:C32"/>
    <mergeCell ref="B59:B60"/>
    <mergeCell ref="B55:B58"/>
    <mergeCell ref="B31:B32"/>
    <mergeCell ref="B24:B25"/>
    <mergeCell ref="B26:B27"/>
    <mergeCell ref="B33:B40"/>
    <mergeCell ref="O3:S19"/>
    <mergeCell ref="C25:C27"/>
    <mergeCell ref="C33:C36"/>
    <mergeCell ref="C44:C46"/>
    <mergeCell ref="C15:K15"/>
    <mergeCell ref="C17:K17"/>
    <mergeCell ref="C19:K19"/>
    <mergeCell ref="C6:K6"/>
  </mergeCells>
  <conditionalFormatting sqref="F4:F5 F29 F54:F1048576 F43:F52 F31:F41 F24:F27 F7:F12">
    <cfRule type="containsText" dxfId="200" priority="29" operator="containsText" text="0">
      <formula>NOT(ISERROR(SEARCH("0",F4)))</formula>
    </cfRule>
  </conditionalFormatting>
  <conditionalFormatting sqref="F54">
    <cfRule type="containsText" dxfId="199" priority="27" operator="containsText" text="0">
      <formula>NOT(ISERROR(SEARCH("0",F54)))</formula>
    </cfRule>
  </conditionalFormatting>
  <conditionalFormatting sqref="F28">
    <cfRule type="containsText" dxfId="198" priority="22" operator="containsText" text="0">
      <formula>NOT(ISERROR(SEARCH("0",F28)))</formula>
    </cfRule>
  </conditionalFormatting>
  <conditionalFormatting sqref="F1 F3">
    <cfRule type="containsText" dxfId="197" priority="18" operator="containsText" text="0">
      <formula>NOT(ISERROR(SEARCH("0",F1)))</formula>
    </cfRule>
  </conditionalFormatting>
  <conditionalFormatting sqref="F2">
    <cfRule type="containsText" dxfId="196" priority="17" operator="containsText" text="0">
      <formula>NOT(ISERROR(SEARCH("0",F2)))</formula>
    </cfRule>
  </conditionalFormatting>
  <conditionalFormatting sqref="F53">
    <cfRule type="containsText" dxfId="195" priority="15" operator="containsText" text="0">
      <formula>NOT(ISERROR(SEARCH("0",F53)))</formula>
    </cfRule>
  </conditionalFormatting>
  <conditionalFormatting sqref="F42">
    <cfRule type="containsText" dxfId="194" priority="13" operator="containsText" text="0">
      <formula>NOT(ISERROR(SEARCH("0",F42)))</formula>
    </cfRule>
  </conditionalFormatting>
  <conditionalFormatting sqref="F30">
    <cfRule type="containsText" dxfId="193" priority="11" operator="containsText" text="0">
      <formula>NOT(ISERROR(SEARCH("0",F30)))</formula>
    </cfRule>
  </conditionalFormatting>
  <conditionalFormatting sqref="F23">
    <cfRule type="containsText" dxfId="192" priority="9" operator="containsText" text="0">
      <formula>NOT(ISERROR(SEARCH("0",F23)))</formula>
    </cfRule>
  </conditionalFormatting>
  <conditionalFormatting sqref="F14">
    <cfRule type="containsText" dxfId="191" priority="8" operator="containsText" text="0">
      <formula>NOT(ISERROR(SEARCH("0",F14)))</formula>
    </cfRule>
  </conditionalFormatting>
  <conditionalFormatting sqref="F16">
    <cfRule type="containsText" dxfId="190" priority="6" operator="containsText" text="0">
      <formula>NOT(ISERROR(SEARCH("0",F16)))</formula>
    </cfRule>
  </conditionalFormatting>
  <conditionalFormatting sqref="F18">
    <cfRule type="containsText" dxfId="189" priority="4" operator="containsText" text="0">
      <formula>NOT(ISERROR(SEARCH("0",F18)))</formula>
    </cfRule>
  </conditionalFormatting>
  <conditionalFormatting sqref="F22">
    <cfRule type="containsText" dxfId="188" priority="2" operator="containsText" text="0">
      <formula>NOT(ISERROR(SEARCH("0",F22)))</formula>
    </cfRule>
  </conditionalFormatting>
  <pageMargins left="0.7" right="0.7" top="0.75" bottom="0.75" header="0.3" footer="0.3"/>
  <pageSetup paperSize="9" scale="42" orientation="portrait" r:id="rId1"/>
  <rowBreaks count="1" manualBreakCount="1">
    <brk id="40" max="16383" man="1"/>
  </rowBreaks>
  <colBreaks count="1" manualBreakCount="1">
    <brk id="13" max="1048575" man="1"/>
  </colBreaks>
  <ignoredErrors>
    <ignoredError sqref="O28 O40 O51 O60 O24 O25 O26 O27 O31 O32 O33 O34 O35 O36 O37 O38 O39 O44 O45 O46 O47 O48 O49 O50 O55 O56 O57 O58 O59 P24:S28 P31:S40 P44:S51 P55:S60" unlockedFormula="1"/>
  </ignoredErrors>
  <drawing r:id="rId2"/>
  <extLst>
    <ext xmlns:x14="http://schemas.microsoft.com/office/spreadsheetml/2009/9/main" uri="{78C0D931-6437-407d-A8EE-F0AAD7539E65}">
      <x14:conditionalFormattings>
        <x14:conditionalFormatting xmlns:xm="http://schemas.microsoft.com/office/excel/2006/main">
          <x14:cfRule type="iconSet" priority="30" id="{EF75874F-029A-4B47-956D-E1812871621D}">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F43</xm:sqref>
        </x14:conditionalFormatting>
        <x14:conditionalFormatting xmlns:xm="http://schemas.microsoft.com/office/excel/2006/main">
          <x14:cfRule type="iconSet" priority="28" id="{4B8E50D5-6EAE-40F2-A667-9E9A5712B118}">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F54</xm:sqref>
        </x14:conditionalFormatting>
        <x14:conditionalFormatting xmlns:xm="http://schemas.microsoft.com/office/excel/2006/main">
          <x14:cfRule type="iconSet" priority="26" id="{F06151A1-6285-4FAA-948D-5C64D6EDDF29}">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F54:F1048576 F29 F4:F5 F43:F52 F31:F41 F24:F27 F7:F12</xm:sqref>
        </x14:conditionalFormatting>
        <x14:conditionalFormatting xmlns:xm="http://schemas.microsoft.com/office/excel/2006/main">
          <x14:cfRule type="iconSet" priority="21" id="{F9E4C5C7-4D2E-480C-8845-B53BB4E4480E}">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F28</xm:sqref>
        </x14:conditionalFormatting>
        <x14:conditionalFormatting xmlns:xm="http://schemas.microsoft.com/office/excel/2006/main">
          <x14:cfRule type="iconSet" priority="19" id="{D3B462AF-0D07-47C0-91DD-0C37E1DD3F86}">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F3 F1</xm:sqref>
        </x14:conditionalFormatting>
        <x14:conditionalFormatting xmlns:xm="http://schemas.microsoft.com/office/excel/2006/main">
          <x14:cfRule type="iconSet" priority="20" id="{DD989332-72BB-49BE-A7AC-8190E1C4DA78}">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F2</xm:sqref>
        </x14:conditionalFormatting>
        <x14:conditionalFormatting xmlns:xm="http://schemas.microsoft.com/office/excel/2006/main">
          <x14:cfRule type="iconSet" priority="16" id="{78708147-D5CC-481A-B205-CC6AD9461749}">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F53</xm:sqref>
        </x14:conditionalFormatting>
        <x14:conditionalFormatting xmlns:xm="http://schemas.microsoft.com/office/excel/2006/main">
          <x14:cfRule type="iconSet" priority="14" id="{FA394456-1F87-41D2-927C-E4D899DE8F8F}">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F42</xm:sqref>
        </x14:conditionalFormatting>
        <x14:conditionalFormatting xmlns:xm="http://schemas.microsoft.com/office/excel/2006/main">
          <x14:cfRule type="iconSet" priority="12" id="{90AF1868-6832-4737-8850-C37E4F1F0AED}">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F30</xm:sqref>
        </x14:conditionalFormatting>
        <x14:conditionalFormatting xmlns:xm="http://schemas.microsoft.com/office/excel/2006/main">
          <x14:cfRule type="iconSet" priority="10" id="{BB927B4F-0345-467E-90EA-6BF30877ADB1}">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F23</xm:sqref>
        </x14:conditionalFormatting>
        <x14:conditionalFormatting xmlns:xm="http://schemas.microsoft.com/office/excel/2006/main">
          <x14:cfRule type="iconSet" priority="7" id="{1A145974-6201-4296-85C7-6E0926090B3A}">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F14</xm:sqref>
        </x14:conditionalFormatting>
        <x14:conditionalFormatting xmlns:xm="http://schemas.microsoft.com/office/excel/2006/main">
          <x14:cfRule type="iconSet" priority="5" id="{45BBB562-974E-46B3-98A9-0A1F8810BFFC}">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F16</xm:sqref>
        </x14:conditionalFormatting>
        <x14:conditionalFormatting xmlns:xm="http://schemas.microsoft.com/office/excel/2006/main">
          <x14:cfRule type="iconSet" priority="3" id="{938F0B84-3F61-437F-9D50-6DF5F8D45C66}">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F18</xm:sqref>
        </x14:conditionalFormatting>
        <x14:conditionalFormatting xmlns:xm="http://schemas.microsoft.com/office/excel/2006/main">
          <x14:cfRule type="iconSet" priority="1" id="{2ADA6601-3A20-4C67-8BA1-31029F42DC63}">
            <x14:iconSet iconSet="4RedToBlack" showValue="0" custom="1">
              <x14:cfvo type="percent">
                <xm:f>0</xm:f>
              </x14:cfvo>
              <x14:cfvo type="num" gte="0">
                <xm:f>0</xm:f>
              </x14:cfvo>
              <x14:cfvo type="num">
                <xm:f>2</xm:f>
              </x14:cfvo>
              <x14:cfvo type="num">
                <xm:f>3</xm:f>
              </x14:cfvo>
              <x14:cfIcon iconSet="3Flags" iconId="0"/>
              <x14:cfIcon iconSet="3TrafficLights1" iconId="0"/>
              <x14:cfIcon iconSet="3TrafficLights1" iconId="1"/>
              <x14:cfIcon iconSet="3TrafficLights1" iconId="2"/>
            </x14:iconSet>
          </x14:cfRule>
          <xm:sqref>F22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Parameters!$B$18:$B$22</xm:f>
          </x14:formula1>
          <xm:sqref>G31:G40 G44:G51 G55:G60 G24:G28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7</vt:i4>
      </vt:variant>
    </vt:vector>
  </HeadingPairs>
  <TitlesOfParts>
    <vt:vector size="39" baseType="lpstr">
      <vt:lpstr>Changelog</vt:lpstr>
      <vt:lpstr>Muutokset</vt:lpstr>
      <vt:lpstr>Summary</vt:lpstr>
      <vt:lpstr>CRITICAL</vt:lpstr>
      <vt:lpstr>ASSET</vt:lpstr>
      <vt:lpstr>THREAT</vt:lpstr>
      <vt:lpstr>RISK</vt:lpstr>
      <vt:lpstr>ACCESS</vt:lpstr>
      <vt:lpstr>SITUATION</vt:lpstr>
      <vt:lpstr>RESPONSE</vt:lpstr>
      <vt:lpstr>THIRDPARTY</vt:lpstr>
      <vt:lpstr>WORKFORCE</vt:lpstr>
      <vt:lpstr>ARCHITECTURE</vt:lpstr>
      <vt:lpstr>PROGRAM</vt:lpstr>
      <vt:lpstr>Investment</vt:lpstr>
      <vt:lpstr>R1</vt:lpstr>
      <vt:lpstr>R2</vt:lpstr>
      <vt:lpstr>R3</vt:lpstr>
      <vt:lpstr>R4</vt:lpstr>
      <vt:lpstr>R5</vt:lpstr>
      <vt:lpstr>R6</vt:lpstr>
      <vt:lpstr>R7</vt:lpstr>
      <vt:lpstr>Export</vt:lpstr>
      <vt:lpstr>Export_KTK</vt:lpstr>
      <vt:lpstr>Import</vt:lpstr>
      <vt:lpstr>Infoimport</vt:lpstr>
      <vt:lpstr>Data</vt:lpstr>
      <vt:lpstr>NISTmap</vt:lpstr>
      <vt:lpstr>Migration</vt:lpstr>
      <vt:lpstr>Mapping</vt:lpstr>
      <vt:lpstr>Languages</vt:lpstr>
      <vt:lpstr>Parameters</vt:lpstr>
      <vt:lpstr>Export_KTK!Print_Area</vt:lpstr>
      <vt:lpstr>Mapping!Print_Area</vt:lpstr>
      <vt:lpstr>'R1'!Print_Area</vt:lpstr>
      <vt:lpstr>'R2'!Print_Area</vt:lpstr>
      <vt:lpstr>'R3'!Print_Area</vt:lpstr>
      <vt:lpstr>'R4'!Print_Area</vt:lpstr>
      <vt:lpstr>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Koivunen Harri</cp:lastModifiedBy>
  <cp:lastPrinted>2022-02-09T18:39:19Z</cp:lastPrinted>
  <dcterms:created xsi:type="dcterms:W3CDTF">2021-10-20T21:40:45Z</dcterms:created>
  <dcterms:modified xsi:type="dcterms:W3CDTF">2022-10-03T10:22:01Z</dcterms:modified>
</cp:coreProperties>
</file>